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2925" windowWidth="20280" windowHeight="11520" activeTab="0"/>
  </bookViews>
  <sheets>
    <sheet name="załącznik " sheetId="1" r:id="rId1"/>
    <sheet name="Arkusz1 (2)" sheetId="2" state="hidden" r:id="rId2"/>
    <sheet name="Arkusz3" sheetId="3" state="hidden" r:id="rId3"/>
    <sheet name="Arkusz1" sheetId="4" r:id="rId4"/>
  </sheets>
  <definedNames>
    <definedName name="czuloscfilmu" localSheetId="1">'Arkusz1 (2)'!$F$73</definedName>
    <definedName name="czuloscfilmu">#REF!</definedName>
    <definedName name="d" localSheetId="1">'Arkusz1 (2)'!$F$8</definedName>
    <definedName name="d">#REF!</definedName>
    <definedName name="f" localSheetId="1">'Arkusz1 (2)'!$F$9</definedName>
    <definedName name="f">#REF!</definedName>
    <definedName name="f_10" localSheetId="1">'Arkusz1 (2)'!$B$24</definedName>
    <definedName name="f_10">#REF!</definedName>
    <definedName name="f_15" localSheetId="1">'Arkusz1 (2)'!$B$25</definedName>
    <definedName name="f_15">#REF!</definedName>
    <definedName name="f_20" localSheetId="1">'Arkusz1 (2)'!$B$26</definedName>
    <definedName name="f_20">#REF!</definedName>
    <definedName name="f_25" localSheetId="1">'Arkusz1 (2)'!$B$27</definedName>
    <definedName name="f_25">#REF!</definedName>
    <definedName name="f_30" localSheetId="1">'Arkusz1 (2)'!$B$28</definedName>
    <definedName name="f_30">#REF!</definedName>
    <definedName name="f_35" localSheetId="1">'Arkusz1 (2)'!$B$29</definedName>
    <definedName name="f_35">#REF!</definedName>
    <definedName name="f_40" localSheetId="1">'Arkusz1 (2)'!$B$30</definedName>
    <definedName name="f_40">#REF!</definedName>
    <definedName name="f_45" localSheetId="1">'Arkusz1 (2)'!$B$31</definedName>
    <definedName name="f_45">#REF!</definedName>
    <definedName name="f_50" localSheetId="1">'Arkusz1 (2)'!$B$32</definedName>
    <definedName name="f_50">#REF!</definedName>
    <definedName name="f_55" localSheetId="1">'Arkusz1 (2)'!$B$33</definedName>
    <definedName name="f_55">#REF!</definedName>
    <definedName name="obaparatu" localSheetId="1">'Arkusz1 (2)'!$G$74</definedName>
    <definedName name="obaparatu">#REF!</definedName>
    <definedName name="uzywanyokular" localSheetId="1">'Arkusz1 (2)'!$G$75</definedName>
    <definedName name="uzywanyokular">#REF!</definedName>
  </definedNames>
  <calcPr fullCalcOnLoad="1"/>
</workbook>
</file>

<file path=xl/sharedStrings.xml><?xml version="1.0" encoding="utf-8"?>
<sst xmlns="http://schemas.openxmlformats.org/spreadsheetml/2006/main" count="92" uniqueCount="89">
  <si>
    <t>Liczba sztuk do zamówienia</t>
  </si>
  <si>
    <t>Nr kolejny</t>
  </si>
  <si>
    <t>Teleskop - podstawowe parametry, ver. 1</t>
  </si>
  <si>
    <t>2001 Grzegorz Koralewski, PTMA Szczecin</t>
  </si>
  <si>
    <t>http://www.cosmo.prv.pl/</t>
  </si>
  <si>
    <t>Średnica teleskopu</t>
  </si>
  <si>
    <t>Ogniskowa teleskopu</t>
  </si>
  <si>
    <t>Światłosiła teleskopu</t>
  </si>
  <si>
    <t>Rozdzielczość (teo.) wizualna</t>
  </si>
  <si>
    <t>Zasięg gwiazdowy</t>
  </si>
  <si>
    <t>(na przedmieściach)</t>
  </si>
  <si>
    <t>(na wsi)</t>
  </si>
  <si>
    <t>Wzmocnienie światła</t>
  </si>
  <si>
    <t>względem oka o źrenicy</t>
  </si>
  <si>
    <t>Maks. powiększenie</t>
  </si>
  <si>
    <t>z okularem</t>
  </si>
  <si>
    <t>Min. powiększenie</t>
  </si>
  <si>
    <t>przy źrenicy</t>
  </si>
  <si>
    <t>Wizualne pola widzenia i powiększenia z różnymi okularami</t>
  </si>
  <si>
    <t>Pole widzenia okularu</t>
  </si>
  <si>
    <t>Ogniskowa okularu</t>
  </si>
  <si>
    <t>powiększenie</t>
  </si>
  <si>
    <t>pole widzenia bardzo wąskie (poniżej 10')</t>
  </si>
  <si>
    <t>pole widzenia umiarkowane</t>
  </si>
  <si>
    <t>pole widzenia bardzo szerokie (powyżej 1 stopnia)</t>
  </si>
  <si>
    <t>powiększenie zbyt duże, lub zbyt małe</t>
  </si>
  <si>
    <t>Pole widzenia na filmie lub w kamerze CCD (ognisko główne)</t>
  </si>
  <si>
    <t>Film 36x24mm</t>
  </si>
  <si>
    <t>nie dotyczy</t>
  </si>
  <si>
    <t>Film 6x6 cm</t>
  </si>
  <si>
    <t>Film 9x6 cm</t>
  </si>
  <si>
    <t>Kamera JBC-386</t>
  </si>
  <si>
    <t>DMK21</t>
  </si>
  <si>
    <t>szerokość klatki [mm]</t>
  </si>
  <si>
    <t>wysokość klatki [mm]</t>
  </si>
  <si>
    <t>piksele poziomo</t>
  </si>
  <si>
    <t>piksele pionowo</t>
  </si>
  <si>
    <t>piksel poziomo [mikrony]</t>
  </si>
  <si>
    <t>piksel pionowo [mikrony]</t>
  </si>
  <si>
    <t>pole widzenia poziomo [stopnie]</t>
  </si>
  <si>
    <t>pole widzenia pionowo [stopnie]</t>
  </si>
  <si>
    <t>sekundy łuku na piksel poziomo</t>
  </si>
  <si>
    <t>sekundy łuku na piksel pionowo</t>
  </si>
  <si>
    <t>zbyt długa ogniskowa, nie rejestruje dodatkowych szczegółów, a zmniejsza pole widzenia</t>
  </si>
  <si>
    <t>Czasy naświetlania planet na danym filmie 36x24 mm, dwiema metodami.</t>
  </si>
  <si>
    <t>efektywna światłosiła</t>
  </si>
  <si>
    <t>efektywna ogniskowa</t>
  </si>
  <si>
    <t>Słońce (z filtrem)</t>
  </si>
  <si>
    <t>Merkury</t>
  </si>
  <si>
    <t>Wenus (maksymalnie)</t>
  </si>
  <si>
    <t>Ostrzeżenia:</t>
  </si>
  <si>
    <t>Księżyc (pełny)</t>
  </si>
  <si>
    <t>czas dłuższy niż 1/30 s</t>
  </si>
  <si>
    <t>Księżyc (pękaty)</t>
  </si>
  <si>
    <t>czas krótszy niż 1/500 s</t>
  </si>
  <si>
    <t>Księżyc (kwadra)</t>
  </si>
  <si>
    <t>obiekt nie mieści się w klatce 36x24mm</t>
  </si>
  <si>
    <t>Księżyc (sierp)</t>
  </si>
  <si>
    <t>Mars (opozycja)</t>
  </si>
  <si>
    <t>Jowisz</t>
  </si>
  <si>
    <t>Saturn (planeta)</t>
  </si>
  <si>
    <t>Saturn (pierścienie)</t>
  </si>
  <si>
    <t>Uran</t>
  </si>
  <si>
    <t>?</t>
  </si>
  <si>
    <t>Neptun</t>
  </si>
  <si>
    <t>Pluton</t>
  </si>
  <si>
    <t>Alfa (z panelami)</t>
  </si>
  <si>
    <t>Rozmiar planety ['']. Można edytować.</t>
  </si>
  <si>
    <t>Wielkość planety na negatywie w ognisku głównym [mm].</t>
  </si>
  <si>
    <t>Czas naświetlania w ognisku głównym [s].</t>
  </si>
  <si>
    <t>Wielkość planety na negatywie metodą afokalną z użyciem okularu i obiektywu fotograficznego [mm].</t>
  </si>
  <si>
    <t>Wielkość obrazu planety zrobionego metodą afokalną na odbitce 18x13cm [mm].</t>
  </si>
  <si>
    <t>Czas naświetlania w metodzie afokalnej przy danym filmie, okularze i obiektywie aparatu [s].</t>
  </si>
  <si>
    <t>Czułość filmu</t>
  </si>
  <si>
    <t>Obiektyw</t>
  </si>
  <si>
    <t>Okular</t>
  </si>
  <si>
    <t>WARTOŚĆ BRUTTO OGÓŁEM</t>
  </si>
  <si>
    <t>Cena jednostkowa brutto</t>
  </si>
  <si>
    <t>RAZEM:</t>
  </si>
  <si>
    <t>Opis produktu/minimalne wymagania Zamawiającego</t>
  </si>
  <si>
    <t>7=5x6</t>
  </si>
  <si>
    <t>Nazwa produktu</t>
  </si>
  <si>
    <t>załącznik nr 1 do SIWZ</t>
  </si>
  <si>
    <t>46/ZP/RCRE/POKL9.2/2015</t>
  </si>
  <si>
    <t>Ploter atramentowy A0</t>
  </si>
  <si>
    <t xml:space="preserve">Rozmiar / Format [mm]: 914 (A0+)
Interfejsy komunikacyjne: min 1x USB , 1 x LAN / Ethernet
Pamięć RAM: min. 32 GB
Podstawa z koszem na wydruki: w zestawie
Pojemność dysku [GB]: min. 320
Technologia druku: Termiczna HP Inkjet
Rozdzielczość druku [dpi]:min. 2400x1200
Wielkość kropli [pl]:6
Liczba dysz na głowicy:9632 na głowicę
Minimalna szerokość linii [mm]:0,02
Precyzja linii [%]:+/- 0,1
Marginesy:Rolka: 5 x 5 x 5 x 5 mm Arkusz: 5 x 22 x 5 x 5 mm
Szybkość drukowania:21 s/str., 120 wydruków A1 na godzinę, 60 wydruków A0 na godzinę
Pojemność tuszy [ml]:130 , 300, Ilość pojemników z tuszem [szt]:6
Model głowicy drukującej:HP 727
Ilość podajników rolkowych:1
Gramatura nośnika [g/m2]:do 320
Grubość nośnika [mm]:do 0,5
Długość rolki (max) [m]:91
Maksymalna średnica roli [mm]:100
Rodzaj nośników: Papier zwykły , Papier powlekany , Papier samoprzylepny , Papier fotograficzny , Folia , Folia samoprzylepna , Kalka techniczna
Minimalna szerokość rolki [mm]:210
Maksymalna szerokość rolki:914mm (A0+)
Język drukarki: HP-GL/2 , HP RTL , Adobe® PostScript® 3 , TIFF , JPEG , CALS G4 , HP PCL 3 GUI , URF
np. Ploter HP DesignJet T920ps 914mm  lub równoważny
</t>
  </si>
  <si>
    <t xml:space="preserve">
Wielofunkcyjne urządzenie do druku kolorowego w formacie A3+</t>
  </si>
  <si>
    <r>
      <t xml:space="preserve">Proponowany asortyment  
</t>
    </r>
    <r>
      <rPr>
        <b/>
        <sz val="10"/>
        <color indexed="10"/>
        <rFont val="Calibri"/>
        <family val="2"/>
      </rPr>
      <t>(nazwa produktu, typ, model, producent, opis, parametry oferowanego sprzętu)</t>
    </r>
  </si>
  <si>
    <r>
      <rPr>
        <strike/>
        <sz val="10"/>
        <color indexed="8"/>
        <rFont val="Calibri1"/>
        <family val="0"/>
      </rPr>
      <t>Skanowanie do DPWS</t>
    </r>
    <r>
      <rPr>
        <sz val="10"/>
        <color indexed="8"/>
        <rFont val="Calibri1"/>
        <family val="0"/>
      </rPr>
      <t>, Skanowanie sieciowe TWAIN, Formaty plików JPEG; TIFF; PDF;</t>
    </r>
    <r>
      <rPr>
        <strike/>
        <sz val="10"/>
        <color indexed="8"/>
        <rFont val="Calibri1"/>
        <family val="0"/>
      </rPr>
      <t xml:space="preserve"> PDF/A 1a i 1b (opcja)</t>
    </r>
    <r>
      <rPr>
        <sz val="10"/>
        <color indexed="8"/>
        <rFont val="Calibri1"/>
        <family val="0"/>
      </rPr>
      <t>; PDF kompaktowy; szyfrowany PDF; przeszukiwalny PDF (opcja); XPS;, kompaktowy XPS; PPTX;</t>
    </r>
    <r>
      <rPr>
        <b/>
        <sz val="10"/>
        <color indexed="10"/>
        <rFont val="Liberation Sans"/>
        <family val="0"/>
      </rPr>
      <t>.</t>
    </r>
    <r>
      <rPr>
        <sz val="10"/>
        <color indexed="8"/>
        <rFont val="Calibri1"/>
        <family val="0"/>
      </rPr>
      <t xml:space="preserve"> </t>
    </r>
    <r>
      <rPr>
        <strike/>
        <sz val="10"/>
        <color indexed="8"/>
        <rFont val="Calibri1"/>
        <family val="0"/>
      </rPr>
      <t>Miejsce przeznaczenia 2,100 (pojedyncze + groupy);</t>
    </r>
    <r>
      <rPr>
        <sz val="10"/>
        <color indexed="8"/>
        <rFont val="Calibri1"/>
        <family val="0"/>
      </rPr>
      <t xml:space="preserve"> obsługa LDAP, </t>
    </r>
    <r>
      <rPr>
        <strike/>
        <sz val="10"/>
        <color indexed="8"/>
        <rFont val="Calibri1"/>
        <family val="0"/>
      </rPr>
      <t>skanowanych dokumentów Funkcje skanowania Adnotacje(tekst/czas/data) dla PDF;</t>
    </r>
    <r>
      <rPr>
        <sz val="10"/>
        <color indexed="8"/>
        <rFont val="Calibri1"/>
        <family val="0"/>
      </rPr>
      <t xml:space="preserve"> do 400 programowalnych zadań; podgląd skanu w czasie rzeczywistym
Pamięć systemowa min. 2,048 MB , Twardy dysk min. 250 GB, Interfejsy 10-Base-T/100-Base T/1,000-Base-T Ethernet; min 1x USB 2.0. Protokoły sieciowe TCP/IP (IPv4 / IPv6); IPX/SPX; NetBEUI; AppleTalk (EtherTalk); SMB; LPD; IPP; SNMP; </t>
    </r>
    <r>
      <rPr>
        <strike/>
        <sz val="10"/>
        <color indexed="8"/>
        <rFont val="Calibri1"/>
        <family val="0"/>
      </rPr>
      <t>http Typy ramek Ethernet 802.2; Ethernet 802.3; Ethernet II; Ethernet SNAP</t>
    </r>
    <r>
      <rPr>
        <sz val="10"/>
        <color indexed="8"/>
        <rFont val="Calibri1"/>
        <family val="0"/>
      </rPr>
      <t xml:space="preserve">. Automatyczny podajnik Do 100 oryginałów; A6–A3; </t>
    </r>
    <r>
      <rPr>
        <strike/>
        <sz val="10"/>
        <color indexed="8"/>
        <rFont val="Calibri1"/>
        <family val="0"/>
      </rPr>
      <t>35–163 g/m2 dokumentów.</t>
    </r>
    <r>
      <rPr>
        <sz val="10"/>
        <color indexed="8"/>
        <rFont val="Calibri1"/>
        <family val="0"/>
      </rPr>
      <t xml:space="preserve"> Format papieru A6–SRA3, </t>
    </r>
    <r>
      <rPr>
        <strike/>
        <sz val="10"/>
        <color indexed="8"/>
        <rFont val="Calibri1"/>
        <family val="0"/>
      </rPr>
      <t>własne formaty papieru; papier banerowy maks. 1,200 x 297 mm,</t>
    </r>
    <r>
      <rPr>
        <sz val="10"/>
        <color indexed="8"/>
        <rFont val="Calibri1"/>
        <family val="0"/>
      </rPr>
      <t xml:space="preserve"> Gramatura papieru</t>
    </r>
    <r>
      <rPr>
        <b/>
        <sz val="10"/>
        <color indexed="8"/>
        <rFont val="Calibri1"/>
        <family val="0"/>
      </rPr>
      <t xml:space="preserve"> </t>
    </r>
    <r>
      <rPr>
        <b/>
        <sz val="10"/>
        <color indexed="10"/>
        <rFont val="Calibri1"/>
        <family val="0"/>
      </rPr>
      <t>od 60 do 300</t>
    </r>
    <r>
      <rPr>
        <sz val="10"/>
        <color indexed="8"/>
        <rFont val="Calibri1"/>
        <family val="0"/>
      </rPr>
      <t xml:space="preserve"> g/m2 Pojemność wejściowa </t>
    </r>
    <r>
      <rPr>
        <strike/>
        <sz val="10"/>
        <color indexed="8"/>
        <rFont val="Calibri1"/>
        <family val="0"/>
      </rPr>
      <t>Standard</t>
    </r>
    <r>
      <rPr>
        <sz val="10"/>
        <color indexed="8"/>
        <rFont val="Calibri1"/>
        <family val="0"/>
      </rPr>
      <t>:</t>
    </r>
    <r>
      <rPr>
        <b/>
        <sz val="10"/>
        <color indexed="10"/>
        <rFont val="Calibri1"/>
        <family val="0"/>
      </rPr>
      <t>min.</t>
    </r>
    <r>
      <rPr>
        <sz val="10"/>
        <color indexed="10"/>
        <rFont val="Calibri1"/>
        <family val="0"/>
      </rPr>
      <t xml:space="preserve"> </t>
    </r>
    <r>
      <rPr>
        <sz val="10"/>
        <color indexed="8"/>
        <rFont val="Calibri1"/>
        <family val="0"/>
      </rPr>
      <t>1,150 arkuszy papieru</t>
    </r>
    <r>
      <rPr>
        <strike/>
        <sz val="10"/>
        <color indexed="8"/>
        <rFont val="Calibri1"/>
        <family val="0"/>
      </rPr>
      <t xml:space="preserve"> Maks.: 3,650 arkuszy</t>
    </r>
    <r>
      <rPr>
        <sz val="10"/>
        <color indexed="8"/>
        <rFont val="Calibri1"/>
        <family val="0"/>
      </rPr>
      <t xml:space="preserve">. </t>
    </r>
    <r>
      <rPr>
        <strike/>
        <sz val="10"/>
        <color indexed="8"/>
        <rFont val="Calibri1"/>
        <family val="0"/>
      </rPr>
      <t>Kaseta 1 500 arkuszy, A5–A3, 52–256 g/m2</t>
    </r>
    <r>
      <rPr>
        <sz val="10"/>
        <color indexed="8"/>
        <rFont val="Calibri1"/>
        <family val="0"/>
      </rPr>
      <t>.</t>
    </r>
    <r>
      <rPr>
        <strike/>
        <sz val="10"/>
        <color indexed="8"/>
        <rFont val="Calibri1"/>
        <family val="0"/>
      </rPr>
      <t xml:space="preserve"> Kaseta 2 500 arkuszy, A5–SRA3, 52–256 g/m2. </t>
    </r>
    <r>
      <rPr>
        <b/>
        <sz val="10"/>
        <color indexed="10"/>
        <rFont val="Liberation Sans"/>
        <family val="0"/>
      </rPr>
      <t xml:space="preserve">
</t>
    </r>
    <r>
      <rPr>
        <sz val="10"/>
        <color indexed="8"/>
        <rFont val="Calibri1"/>
        <family val="0"/>
      </rPr>
      <t xml:space="preserve">Podajnik boczny 150 arkuszy, </t>
    </r>
    <r>
      <rPr>
        <strike/>
        <sz val="10"/>
        <color indexed="8"/>
        <rFont val="Calibri1"/>
        <family val="0"/>
      </rPr>
      <t>A6–SRA3, własne formaty papieru, baner, 60–300 g/m2</t>
    </r>
    <r>
      <rPr>
        <sz val="10"/>
        <color indexed="8"/>
        <rFont val="Calibri1"/>
        <family val="0"/>
      </rPr>
      <t>,</t>
    </r>
    <r>
      <rPr>
        <strike/>
        <sz val="10"/>
        <color indexed="8"/>
        <rFont val="Calibri1"/>
        <family val="0"/>
      </rPr>
      <t xml:space="preserve"> Automatyczny druk A5–SRA3; 52–256 g/m2 dwustronny,</t>
    </r>
    <r>
      <rPr>
        <sz val="10"/>
        <color indexed="8"/>
        <rFont val="Calibri1"/>
        <family val="0"/>
      </rPr>
      <t xml:space="preserve"> </t>
    </r>
    <r>
      <rPr>
        <strike/>
        <sz val="10"/>
        <color indexed="8"/>
        <rFont val="Calibri1"/>
        <family val="0"/>
      </rPr>
      <t>Tryby wykańczania Przesunięcie; grupowanie; sortowanie; zszywanie; dziurkowanie</t>
    </r>
    <r>
      <rPr>
        <sz val="10"/>
        <color indexed="8"/>
        <rFont val="Calibri1"/>
        <family val="0"/>
      </rPr>
      <t>; Pojemność odbiorcza</t>
    </r>
    <r>
      <rPr>
        <sz val="10"/>
        <color indexed="10"/>
        <rFont val="Calibri1"/>
        <family val="0"/>
      </rPr>
      <t xml:space="preserve"> </t>
    </r>
    <r>
      <rPr>
        <b/>
        <sz val="10"/>
        <color indexed="10"/>
        <rFont val="Calibri1"/>
        <family val="0"/>
      </rPr>
      <t>nie mniej niż 1000</t>
    </r>
    <r>
      <rPr>
        <b/>
        <strike/>
        <sz val="10"/>
        <color indexed="8"/>
        <rFont val="Calibri1"/>
        <family val="0"/>
      </rPr>
      <t xml:space="preserve"> </t>
    </r>
    <r>
      <rPr>
        <strike/>
        <sz val="10"/>
        <color indexed="8"/>
        <rFont val="Calibri1"/>
        <family val="0"/>
      </rPr>
      <t>Maks.: 3,300</t>
    </r>
    <r>
      <rPr>
        <sz val="10"/>
        <color indexed="8"/>
        <rFont val="Calibri1"/>
        <family val="0"/>
      </rPr>
      <t xml:space="preserve"> arkuszy (z finiszerem)</t>
    </r>
    <r>
      <rPr>
        <strike/>
        <sz val="10"/>
        <color indexed="8"/>
        <rFont val="Calibri1"/>
        <family val="0"/>
      </rPr>
      <t>, Pojemność odbiorcza Maks.: 250 arkuszy (bezZszywanie Maks.: 50 arkuszy lub 48 arkuszy + 2 arkusze okładki(do 209 g/m2). Pojemność wyjściowa Mak. 1,000 arkuszy</t>
    </r>
    <r>
      <rPr>
        <sz val="10"/>
        <color indexed="8"/>
        <rFont val="Calibri1"/>
        <family val="0"/>
      </rPr>
      <t>.</t>
    </r>
    <r>
      <rPr>
        <sz val="10"/>
        <color indexed="10"/>
        <rFont val="Calibri1"/>
        <family val="0"/>
      </rPr>
      <t xml:space="preserve"> </t>
    </r>
    <r>
      <rPr>
        <strike/>
        <sz val="10"/>
        <rFont val="Calibri1"/>
        <family val="0"/>
      </rPr>
      <t>Pobór mocy 220–240 V / 50/60 Hz, poniżej 1.5 kW (system), TEC* 1,68 kWh/tydz., Wymiary systemu 615 x 685 x 779 mm (bez ADF dolnej tacy na papier)</t>
    </r>
    <r>
      <rPr>
        <sz val="10"/>
        <rFont val="Calibri1"/>
        <family val="0"/>
      </rPr>
      <t xml:space="preserve">
</t>
    </r>
    <r>
      <rPr>
        <strike/>
        <sz val="10"/>
        <rFont val="Calibri1"/>
        <family val="0"/>
      </rPr>
      <t xml:space="preserve">Oprogramowanie PageScope Net Care Device Manager – </t>
    </r>
    <r>
      <rPr>
        <sz val="10"/>
        <rFont val="Calibri1"/>
        <family val="0"/>
      </rPr>
      <t>Zdalne zarządzanie urządzeniem</t>
    </r>
    <r>
      <rPr>
        <sz val="10"/>
        <color indexed="8"/>
        <rFont val="Calibri1"/>
        <family val="0"/>
      </rPr>
      <t xml:space="preserve">
</t>
    </r>
    <r>
      <rPr>
        <strike/>
        <sz val="10"/>
        <color indexed="8"/>
        <rFont val="Calibri1"/>
        <family val="0"/>
      </rPr>
      <t xml:space="preserve">PageScope Data Administrator – Zarządzanie danymi użytkownikówPageScope Box Operator </t>
    </r>
    <r>
      <rPr>
        <sz val="10"/>
        <color indexed="8"/>
        <rFont val="Calibri1"/>
        <family val="0"/>
      </rPr>
      <t xml:space="preserve">– Zarządzanie skrzynkami użytkowników. </t>
    </r>
    <r>
      <rPr>
        <b/>
        <sz val="10"/>
        <color indexed="10"/>
        <rFont val="Calibri1"/>
        <family val="0"/>
      </rPr>
      <t>Możliwość druku z Pendive</t>
    </r>
    <r>
      <rPr>
        <sz val="10"/>
        <color indexed="10"/>
        <rFont val="Calibri1"/>
        <family val="0"/>
      </rPr>
      <t xml:space="preserve"> </t>
    </r>
    <r>
      <rPr>
        <strike/>
        <sz val="10"/>
        <color indexed="8"/>
        <rFont val="Calibri1"/>
        <family val="0"/>
      </rPr>
      <t>PageScope Direct Print – Szybkie drukowanie bez sterownikaPrint Status Notifier –</t>
    </r>
    <r>
      <rPr>
        <sz val="10"/>
        <color indexed="8"/>
        <rFont val="Calibri1"/>
        <family val="0"/>
      </rPr>
      <t xml:space="preserve"> Powiadamianie o statusie urządzenia,</t>
    </r>
    <r>
      <rPr>
        <strike/>
        <sz val="10"/>
        <color indexed="8"/>
        <rFont val="Calibri1"/>
        <family val="0"/>
      </rPr>
      <t xml:space="preserve"> Driver Packaging Utility – Zestaw sterowników, Log Management Utility – Informacje o logach przebiegu wykonywanych zadańw czerni i w kolorze.</t>
    </r>
    <r>
      <rPr>
        <sz val="10"/>
        <color indexed="8"/>
        <rFont val="Calibri1"/>
        <family val="0"/>
      </rPr>
      <t xml:space="preserve"> Standardowy kontroler druku Emperon™ z obsługą PCL 6c, PostScript 3, PDF 1.7 i XPS. </t>
    </r>
    <r>
      <rPr>
        <strike/>
        <sz val="10"/>
        <color indexed="8"/>
        <rFont val="Calibri1"/>
        <family val="0"/>
      </rPr>
      <t>Pojemność papieru 500 + 500 arkuszy oraz 150arkuszy z podajnika bocznego</t>
    </r>
    <r>
      <rPr>
        <sz val="10"/>
        <color indexed="8"/>
        <rFont val="Calibri1"/>
        <family val="0"/>
      </rPr>
      <t>. Nośniki od A6 do SRA3,</t>
    </r>
    <r>
      <rPr>
        <strike/>
        <sz val="10"/>
        <color indexed="8"/>
        <rFont val="Calibri1"/>
        <family val="0"/>
      </rPr>
      <t xml:space="preserve"> baner 1.2 m i gramatura mediów 52 – 300 g/m2.</t>
    </r>
    <r>
      <rPr>
        <sz val="10"/>
        <color indexed="8"/>
        <rFont val="Calibri1"/>
        <family val="0"/>
      </rPr>
      <t xml:space="preserve">
</t>
    </r>
    <r>
      <rPr>
        <strike/>
        <sz val="10"/>
        <color indexed="8"/>
        <rFont val="Calibri1"/>
        <family val="0"/>
      </rPr>
      <t>Pamięć min 2 GB, dysk twardy min 250 GB i standardowy Gigabit Etherne</t>
    </r>
    <r>
      <rPr>
        <sz val="10"/>
        <color indexed="8"/>
        <rFont val="Calibri1"/>
        <family val="0"/>
      </rPr>
      <t xml:space="preserve">t, w zestawie komplet orginalnych </t>
    </r>
    <r>
      <rPr>
        <b/>
        <sz val="10"/>
        <color indexed="10"/>
        <rFont val="Calibri1"/>
        <family val="0"/>
      </rPr>
      <t>tonerów kolor czarny min 28 000 wydruków kolorowe (C,M,Y) każdy na min 25 000 wydruków przy 5% pokryciu wydruku.</t>
    </r>
    <r>
      <rPr>
        <sz val="10"/>
        <color indexed="8"/>
        <rFont val="Calibri1"/>
        <family val="0"/>
      </rPr>
      <t xml:space="preserve"> </t>
    </r>
    <r>
      <rPr>
        <strike/>
        <sz val="10"/>
        <rFont val="Calibri1"/>
        <family val="0"/>
      </rPr>
      <t xml:space="preserve"> Toner TN 319 K(czarny) wydajność 29 K, Toner TN 319 Y(yellow) wydajność 26 K, Toner TN 319 M(magenta) wydajność 26 K, Toner TN 319 C(cyan) wydajność 26 K, zestaw orgyginalnych bębnów DR 512 K(czarny) wydajność 120 K, DR 311 Y(yellow) wydajność 90 K, DR 311 M(magenta)wydajność 90 K, DR 311 C(cyan) wydajność 90 K</t>
    </r>
    <r>
      <rPr>
        <sz val="10"/>
        <rFont val="Calibri1"/>
        <family val="0"/>
      </rPr>
      <t xml:space="preserve"> Szybkość kopiowania/drukowania A4: 0d 35 kopii/min
A3:od 15 </t>
    </r>
    <r>
      <rPr>
        <strike/>
        <sz val="10"/>
        <rFont val="Calibri1"/>
        <family val="0"/>
      </rPr>
      <t xml:space="preserve">do 17 </t>
    </r>
    <r>
      <rPr>
        <sz val="10"/>
        <rFont val="Calibri1"/>
        <family val="0"/>
      </rPr>
      <t>kopii/min.</t>
    </r>
    <r>
      <rPr>
        <sz val="10"/>
        <color indexed="10"/>
        <rFont val="Calibri1"/>
        <family val="0"/>
      </rPr>
      <t xml:space="preserve"> </t>
    </r>
    <r>
      <rPr>
        <b/>
        <sz val="10"/>
        <color indexed="10"/>
        <rFont val="Calibri1"/>
        <family val="0"/>
      </rPr>
      <t>W zestwawie zewnętrzny finischer zszywający oraz dziurkujący.</t>
    </r>
    <r>
      <rPr>
        <b/>
        <sz val="10"/>
        <color indexed="10"/>
        <rFont val="Calibri1"/>
        <family val="0"/>
      </rPr>
      <t xml:space="preserve"> </t>
    </r>
    <r>
      <rPr>
        <b/>
        <sz val="10"/>
        <color indexed="10"/>
        <rFont val="Calibri1"/>
        <family val="0"/>
      </rPr>
      <t>Szafka Pod kopiarkę w zestawie.</t>
    </r>
    <r>
      <rPr>
        <b/>
        <sz val="10"/>
        <color indexed="10"/>
        <rFont val="Calibri1"/>
        <family val="0"/>
      </rPr>
      <t xml:space="preserve"> </t>
    </r>
    <r>
      <rPr>
        <b/>
        <sz val="10"/>
        <color indexed="10"/>
        <rFont val="Calibri1"/>
        <family val="0"/>
      </rPr>
      <t xml:space="preserve">Produkt farbycznie NOWY - NIE REFABRYKOWANY </t>
    </r>
    <r>
      <rPr>
        <sz val="10"/>
        <color indexed="8"/>
        <rFont val="Calibri1"/>
        <family val="0"/>
      </rPr>
      <t xml:space="preserve">
</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</si>
</sst>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0\ &quot;mm&quot;"/>
    <numFmt numFmtId="167" formatCode="&quot;f/&quot;\ 0.0"/>
    <numFmt numFmtId="168" formatCode="0.0&quot;''&quot;"/>
    <numFmt numFmtId="169" formatCode="0.0\ &quot;m&quot;"/>
    <numFmt numFmtId="170" formatCode="0.0\ &quot;x&quot;"/>
    <numFmt numFmtId="171" formatCode="0&quot;x&quot;"/>
    <numFmt numFmtId="172" formatCode="0\ &quot;x&quot;"/>
    <numFmt numFmtId="173" formatCode="0&quot;'&quot;"/>
    <numFmt numFmtId="174" formatCode="0.0"/>
    <numFmt numFmtId="175" formatCode="0.00&quot;''&quot;"/>
    <numFmt numFmtId="176" formatCode="&quot;f/ &quot;0.0\ "/>
    <numFmt numFmtId="177" formatCode="0.00\ &quot;mm&quot;"/>
    <numFmt numFmtId="178" formatCode="0.0000\ &quot;s&quot;"/>
    <numFmt numFmtId="179" formatCode="0.0\ &quot;mm&quot;"/>
    <numFmt numFmtId="180" formatCode="#,##0.00\ _z_ł;[Red]#,##\&lt;\1\ 0.00\ _z_ł"/>
    <numFmt numFmtId="181" formatCode="0\ &quot;ASA&quot;"/>
    <numFmt numFmtId="182" formatCode="&quot;Tak&quot;;&quot;Tak&quot;;&quot;Nie&quot;"/>
    <numFmt numFmtId="183" formatCode="&quot;Prawda&quot;;&quot;Prawda&quot;;&quot;Fałsz&quot;"/>
    <numFmt numFmtId="184" formatCode="&quot;Włączone&quot;;&quot;Włączone&quot;;&quot;Wyłączone&quot;"/>
    <numFmt numFmtId="185" formatCode="[$€-2]\ #,##0.00_);[Red]\([$€-2]\ #,##0.00\)"/>
  </numFmts>
  <fonts count="57">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b/>
      <sz val="16"/>
      <name val="Arial CE"/>
      <family val="2"/>
    </font>
    <font>
      <b/>
      <sz val="8"/>
      <name val="Arial CE"/>
      <family val="2"/>
    </font>
    <font>
      <b/>
      <u val="single"/>
      <sz val="8"/>
      <color indexed="12"/>
      <name val="Arial CE"/>
      <family val="2"/>
    </font>
    <font>
      <b/>
      <sz val="8"/>
      <color indexed="8"/>
      <name val="Arial CE"/>
      <family val="2"/>
    </font>
    <font>
      <b/>
      <sz val="8"/>
      <color indexed="9"/>
      <name val="Arial CE"/>
      <family val="2"/>
    </font>
    <font>
      <sz val="8"/>
      <name val="Arial CE"/>
      <family val="2"/>
    </font>
    <font>
      <sz val="10"/>
      <name val="Arial CE"/>
      <family val="2"/>
    </font>
    <font>
      <b/>
      <sz val="10"/>
      <name val="Arial CE"/>
      <family val="2"/>
    </font>
    <font>
      <sz val="7"/>
      <name val="Arial CE"/>
      <family val="2"/>
    </font>
    <font>
      <b/>
      <i/>
      <sz val="7"/>
      <color indexed="9"/>
      <name val="Arial CE"/>
      <family val="2"/>
    </font>
    <font>
      <b/>
      <i/>
      <sz val="8"/>
      <name val="Arial CE"/>
      <family val="2"/>
    </font>
    <font>
      <i/>
      <sz val="10"/>
      <name val="Calibri"/>
      <family val="2"/>
    </font>
    <font>
      <b/>
      <sz val="10"/>
      <color indexed="10"/>
      <name val="Calibri"/>
      <family val="2"/>
    </font>
    <font>
      <u val="single"/>
      <sz val="10"/>
      <color indexed="12"/>
      <name val="Arial"/>
      <family val="2"/>
    </font>
    <font>
      <sz val="9"/>
      <name val="Calibri"/>
      <family val="2"/>
    </font>
    <font>
      <b/>
      <sz val="9"/>
      <name val="Calibri"/>
      <family val="2"/>
    </font>
    <font>
      <sz val="10"/>
      <color indexed="8"/>
      <name val="Calibri"/>
      <family val="2"/>
    </font>
    <font>
      <sz val="10"/>
      <name val="Calibri"/>
      <family val="2"/>
    </font>
    <font>
      <b/>
      <sz val="10"/>
      <name val="Calibri"/>
      <family val="2"/>
    </font>
    <font>
      <b/>
      <sz val="10"/>
      <color indexed="8"/>
      <name val="Calibri"/>
      <family val="2"/>
    </font>
    <font>
      <i/>
      <sz val="12"/>
      <name val="Calibri"/>
      <family val="2"/>
    </font>
    <font>
      <sz val="12"/>
      <name val="Calibri"/>
      <family val="2"/>
    </font>
    <font>
      <sz val="10"/>
      <color indexed="8"/>
      <name val="Calibri1"/>
      <family val="0"/>
    </font>
    <font>
      <strike/>
      <sz val="10"/>
      <color indexed="8"/>
      <name val="Calibri1"/>
      <family val="0"/>
    </font>
    <font>
      <b/>
      <sz val="10"/>
      <color indexed="10"/>
      <name val="Liberation Sans"/>
      <family val="0"/>
    </font>
    <font>
      <b/>
      <sz val="10"/>
      <color indexed="8"/>
      <name val="Calibri1"/>
      <family val="0"/>
    </font>
    <font>
      <b/>
      <sz val="10"/>
      <color indexed="10"/>
      <name val="Calibri1"/>
      <family val="0"/>
    </font>
    <font>
      <sz val="10"/>
      <color indexed="10"/>
      <name val="Calibri1"/>
      <family val="0"/>
    </font>
    <font>
      <b/>
      <strike/>
      <sz val="10"/>
      <color indexed="8"/>
      <name val="Calibri1"/>
      <family val="0"/>
    </font>
    <font>
      <strike/>
      <sz val="10"/>
      <name val="Calibri1"/>
      <family val="0"/>
    </font>
    <font>
      <sz val="10"/>
      <name val="Calibri1"/>
      <family val="0"/>
    </font>
    <font>
      <u val="single"/>
      <sz val="10"/>
      <color theme="10"/>
      <name val="Arial"/>
      <family val="2"/>
    </font>
    <font>
      <sz val="11"/>
      <color theme="1"/>
      <name val="Czcionka tekstu podstawowego"/>
      <family val="2"/>
    </font>
    <font>
      <sz val="10"/>
      <color theme="1"/>
      <name val="Calibri"/>
      <family val="2"/>
    </font>
    <font>
      <b/>
      <sz val="10"/>
      <color rgb="FF000000"/>
      <name val="Calibri"/>
      <family val="2"/>
    </font>
    <font>
      <sz val="10"/>
      <color rgb="FF000000"/>
      <name val="Calibri"/>
      <family val="2"/>
    </font>
    <font>
      <sz val="10"/>
      <color rgb="FF000000"/>
      <name val="Calibri1"/>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right style="thin"/>
      <top/>
      <bottom/>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right/>
      <top style="thin"/>
      <bottom/>
    </border>
    <border>
      <left/>
      <right style="thin"/>
      <top style="thin"/>
      <bottom/>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52" fillId="0" borderId="0">
      <alignment/>
      <protection/>
    </xf>
    <xf numFmtId="0" fontId="1" fillId="0" borderId="0">
      <alignment/>
      <protection/>
    </xf>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39">
    <xf numFmtId="0" fontId="0" fillId="0" borderId="0" xfId="0" applyAlignment="1">
      <alignment/>
    </xf>
    <xf numFmtId="0" fontId="0" fillId="0" borderId="0" xfId="0" applyAlignment="1">
      <alignment horizontal="center"/>
    </xf>
    <xf numFmtId="0" fontId="20" fillId="0" borderId="0" xfId="0" applyFont="1" applyAlignment="1">
      <alignment horizontal="center"/>
    </xf>
    <xf numFmtId="166" fontId="24" fillId="24" borderId="0" xfId="0" applyNumberFormat="1" applyFont="1" applyFill="1" applyBorder="1" applyAlignment="1" applyProtection="1">
      <alignment/>
      <protection locked="0"/>
    </xf>
    <xf numFmtId="167" fontId="25" fillId="0" borderId="0" xfId="0" applyNumberFormat="1" applyFont="1" applyFill="1" applyAlignment="1">
      <alignment horizontal="center"/>
    </xf>
    <xf numFmtId="168" fontId="25" fillId="0" borderId="0" xfId="0" applyNumberFormat="1" applyFont="1" applyFill="1" applyAlignment="1">
      <alignment horizontal="center"/>
    </xf>
    <xf numFmtId="169" fontId="25" fillId="0" borderId="0" xfId="0" applyNumberFormat="1" applyFont="1" applyFill="1" applyAlignment="1">
      <alignment horizontal="center"/>
    </xf>
    <xf numFmtId="170" fontId="25" fillId="0" borderId="0" xfId="0" applyNumberFormat="1" applyFont="1" applyFill="1" applyAlignment="1">
      <alignment horizontal="center"/>
    </xf>
    <xf numFmtId="166" fontId="25" fillId="0" borderId="0" xfId="0" applyNumberFormat="1" applyFont="1" applyAlignment="1">
      <alignment horizontal="left"/>
    </xf>
    <xf numFmtId="171" fontId="25" fillId="0" borderId="0" xfId="0" applyNumberFormat="1" applyFont="1" applyFill="1" applyAlignment="1">
      <alignment horizontal="center"/>
    </xf>
    <xf numFmtId="0" fontId="25" fillId="0" borderId="0" xfId="0" applyFont="1" applyAlignment="1">
      <alignment horizontal="left"/>
    </xf>
    <xf numFmtId="166" fontId="25" fillId="0" borderId="0" xfId="0" applyNumberFormat="1" applyFont="1" applyAlignment="1">
      <alignment horizontal="center"/>
    </xf>
    <xf numFmtId="166" fontId="24" fillId="24" borderId="0" xfId="0" applyNumberFormat="1" applyFont="1" applyFill="1" applyAlignment="1" applyProtection="1">
      <alignment horizontal="center"/>
      <protection locked="0"/>
    </xf>
    <xf numFmtId="172" fontId="26" fillId="0" borderId="0" xfId="0" applyNumberFormat="1" applyFont="1" applyFill="1" applyAlignment="1">
      <alignment/>
    </xf>
    <xf numFmtId="0" fontId="26" fillId="0" borderId="0" xfId="0" applyFont="1" applyAlignment="1">
      <alignment horizontal="center"/>
    </xf>
    <xf numFmtId="169" fontId="26" fillId="0" borderId="0" xfId="0" applyNumberFormat="1" applyFont="1" applyFill="1" applyAlignment="1">
      <alignment/>
    </xf>
    <xf numFmtId="0" fontId="0" fillId="0" borderId="0" xfId="0" applyFill="1" applyAlignment="1">
      <alignment horizontal="center"/>
    </xf>
    <xf numFmtId="1" fontId="25" fillId="8" borderId="0" xfId="0" applyNumberFormat="1" applyFont="1" applyFill="1" applyAlignment="1">
      <alignment horizontal="center"/>
    </xf>
    <xf numFmtId="0" fontId="25" fillId="8" borderId="0" xfId="0" applyFont="1" applyFill="1" applyAlignment="1">
      <alignment horizontal="center"/>
    </xf>
    <xf numFmtId="173" fontId="25" fillId="0" borderId="10" xfId="0" applyNumberFormat="1" applyFont="1" applyBorder="1" applyAlignment="1">
      <alignment horizontal="center"/>
    </xf>
    <xf numFmtId="173" fontId="25" fillId="0" borderId="11" xfId="0" applyNumberFormat="1" applyFont="1" applyBorder="1" applyAlignment="1">
      <alignment horizontal="center"/>
    </xf>
    <xf numFmtId="171" fontId="25" fillId="8" borderId="12" xfId="0" applyNumberFormat="1" applyFont="1" applyFill="1" applyBorder="1" applyAlignment="1">
      <alignment horizontal="center"/>
    </xf>
    <xf numFmtId="173" fontId="21" fillId="0" borderId="10" xfId="0" applyNumberFormat="1" applyFont="1" applyBorder="1" applyAlignment="1">
      <alignment horizontal="center"/>
    </xf>
    <xf numFmtId="173" fontId="25" fillId="0" borderId="10" xfId="0" applyNumberFormat="1" applyFont="1" applyFill="1" applyBorder="1" applyAlignment="1">
      <alignment horizontal="center"/>
    </xf>
    <xf numFmtId="0" fontId="25" fillId="0" borderId="0" xfId="0" applyFont="1" applyAlignment="1">
      <alignment/>
    </xf>
    <xf numFmtId="0" fontId="0" fillId="17" borderId="0" xfId="0" applyFill="1" applyBorder="1" applyAlignment="1">
      <alignment horizontal="center"/>
    </xf>
    <xf numFmtId="0" fontId="25" fillId="0" borderId="0" xfId="0" applyFont="1" applyAlignment="1">
      <alignment horizontal="center"/>
    </xf>
    <xf numFmtId="0" fontId="0" fillId="0" borderId="0" xfId="0" applyAlignment="1">
      <alignment horizontal="right"/>
    </xf>
    <xf numFmtId="0" fontId="0" fillId="7" borderId="0" xfId="0" applyFill="1" applyBorder="1" applyAlignment="1">
      <alignment horizontal="center"/>
    </xf>
    <xf numFmtId="0" fontId="0" fillId="25" borderId="0" xfId="0" applyFill="1" applyBorder="1" applyAlignment="1">
      <alignment horizontal="center"/>
    </xf>
    <xf numFmtId="0" fontId="0" fillId="5" borderId="0" xfId="0" applyFill="1" applyBorder="1" applyAlignment="1">
      <alignment horizontal="center"/>
    </xf>
    <xf numFmtId="174" fontId="25" fillId="0" borderId="10" xfId="0" applyNumberFormat="1" applyFont="1" applyBorder="1" applyAlignment="1">
      <alignment horizontal="center"/>
    </xf>
    <xf numFmtId="0" fontId="25" fillId="8" borderId="0" xfId="0" applyFont="1" applyFill="1" applyBorder="1" applyAlignment="1">
      <alignment horizontal="center"/>
    </xf>
    <xf numFmtId="2" fontId="25" fillId="0" borderId="10" xfId="0" applyNumberFormat="1" applyFont="1" applyFill="1" applyBorder="1" applyAlignment="1">
      <alignment horizontal="center"/>
    </xf>
    <xf numFmtId="0" fontId="28" fillId="8" borderId="0" xfId="0" applyFont="1" applyFill="1" applyAlignment="1">
      <alignment horizontal="left"/>
    </xf>
    <xf numFmtId="2" fontId="25" fillId="0" borderId="10" xfId="0" applyNumberFormat="1" applyFont="1" applyBorder="1" applyAlignment="1">
      <alignment horizontal="center"/>
    </xf>
    <xf numFmtId="0" fontId="25" fillId="0" borderId="10" xfId="0" applyFont="1" applyBorder="1" applyAlignment="1">
      <alignment horizontal="center"/>
    </xf>
    <xf numFmtId="175" fontId="25" fillId="0" borderId="10" xfId="0" applyNumberFormat="1" applyFont="1" applyFill="1" applyBorder="1" applyAlignment="1">
      <alignment horizontal="center"/>
    </xf>
    <xf numFmtId="2"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0" fillId="0" borderId="0" xfId="0" applyAlignment="1">
      <alignment horizontal="center" wrapText="1"/>
    </xf>
    <xf numFmtId="0" fontId="28" fillId="8" borderId="0" xfId="0" applyFont="1" applyFill="1" applyAlignment="1">
      <alignment horizontal="center" vertical="top" textRotation="90" wrapText="1"/>
    </xf>
    <xf numFmtId="0" fontId="28" fillId="26" borderId="0" xfId="0" applyFont="1" applyFill="1" applyAlignment="1">
      <alignment horizontal="center" vertical="top" textRotation="90" wrapText="1"/>
    </xf>
    <xf numFmtId="0" fontId="0" fillId="17" borderId="0" xfId="0" applyFill="1" applyAlignment="1">
      <alignment horizontal="center"/>
    </xf>
    <xf numFmtId="0" fontId="27" fillId="0" borderId="0" xfId="0" applyFont="1" applyAlignment="1">
      <alignment horizontal="center"/>
    </xf>
    <xf numFmtId="176" fontId="25" fillId="5" borderId="13" xfId="0" applyNumberFormat="1" applyFont="1" applyFill="1" applyBorder="1" applyAlignment="1">
      <alignment/>
    </xf>
    <xf numFmtId="166" fontId="25" fillId="5" borderId="13" xfId="0" applyNumberFormat="1" applyFont="1" applyFill="1" applyBorder="1" applyAlignment="1">
      <alignment/>
    </xf>
    <xf numFmtId="168" fontId="25" fillId="0" borderId="13" xfId="0" applyNumberFormat="1" applyFont="1" applyBorder="1" applyAlignment="1" applyProtection="1">
      <alignment horizontal="center"/>
      <protection locked="0"/>
    </xf>
    <xf numFmtId="177" fontId="25" fillId="0" borderId="10" xfId="0" applyNumberFormat="1" applyFont="1" applyBorder="1" applyAlignment="1">
      <alignment horizontal="center"/>
    </xf>
    <xf numFmtId="178" fontId="25" fillId="0" borderId="10" xfId="0" applyNumberFormat="1" applyFont="1" applyBorder="1" applyAlignment="1">
      <alignment horizontal="center"/>
    </xf>
    <xf numFmtId="177" fontId="25" fillId="0" borderId="14" xfId="0" applyNumberFormat="1" applyFont="1" applyFill="1" applyBorder="1" applyAlignment="1">
      <alignment horizontal="center"/>
    </xf>
    <xf numFmtId="179" fontId="25" fillId="0" borderId="14" xfId="0" applyNumberFormat="1" applyFont="1" applyBorder="1" applyAlignment="1">
      <alignment horizontal="center"/>
    </xf>
    <xf numFmtId="178" fontId="25" fillId="0" borderId="14" xfId="0" applyNumberFormat="1" applyFont="1" applyBorder="1" applyAlignment="1">
      <alignment horizontal="center"/>
    </xf>
    <xf numFmtId="177" fontId="25" fillId="0" borderId="10" xfId="0" applyNumberFormat="1" applyFont="1" applyFill="1" applyBorder="1" applyAlignment="1">
      <alignment horizontal="center"/>
    </xf>
    <xf numFmtId="179" fontId="25" fillId="0" borderId="10" xfId="0" applyNumberFormat="1" applyFont="1" applyBorder="1" applyAlignment="1">
      <alignment horizontal="center"/>
    </xf>
    <xf numFmtId="0" fontId="21" fillId="0" borderId="0" xfId="0" applyFont="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0" fontId="0" fillId="7" borderId="0" xfId="0" applyFill="1" applyAlignment="1">
      <alignment horizontal="left"/>
    </xf>
    <xf numFmtId="0" fontId="0" fillId="3" borderId="0" xfId="0" applyFill="1" applyAlignment="1">
      <alignment horizontal="center"/>
    </xf>
    <xf numFmtId="0" fontId="0" fillId="20" borderId="0" xfId="0" applyFill="1" applyAlignment="1">
      <alignment horizontal="center"/>
    </xf>
    <xf numFmtId="168" fontId="21" fillId="0" borderId="13" xfId="0" applyNumberFormat="1" applyFont="1" applyBorder="1" applyAlignment="1" applyProtection="1">
      <alignment horizontal="center"/>
      <protection locked="0"/>
    </xf>
    <xf numFmtId="177" fontId="21" fillId="0" borderId="10" xfId="0" applyNumberFormat="1" applyFont="1" applyBorder="1" applyAlignment="1">
      <alignment horizontal="center"/>
    </xf>
    <xf numFmtId="178" fontId="21" fillId="0" borderId="10" xfId="0" applyNumberFormat="1" applyFont="1" applyBorder="1" applyAlignment="1">
      <alignment horizontal="center"/>
    </xf>
    <xf numFmtId="177" fontId="21" fillId="0" borderId="10" xfId="0" applyNumberFormat="1" applyFont="1" applyFill="1" applyBorder="1" applyAlignment="1">
      <alignment horizontal="center"/>
    </xf>
    <xf numFmtId="179" fontId="21" fillId="0" borderId="10" xfId="0" applyNumberFormat="1" applyFont="1" applyBorder="1" applyAlignment="1">
      <alignment horizontal="center"/>
    </xf>
    <xf numFmtId="180" fontId="0" fillId="0" borderId="0" xfId="0" applyNumberFormat="1" applyAlignment="1">
      <alignment horizontal="center"/>
    </xf>
    <xf numFmtId="0" fontId="25" fillId="8" borderId="10" xfId="0" applyFont="1" applyFill="1" applyBorder="1" applyAlignment="1">
      <alignment horizontal="center" textRotation="90" wrapText="1"/>
    </xf>
    <xf numFmtId="0" fontId="25" fillId="8" borderId="14" xfId="0" applyFont="1" applyFill="1" applyBorder="1" applyAlignment="1">
      <alignment horizontal="center" textRotation="90" wrapText="1"/>
    </xf>
    <xf numFmtId="0" fontId="25" fillId="5" borderId="10" xfId="0" applyFont="1" applyFill="1" applyBorder="1" applyAlignment="1">
      <alignment horizontal="center" textRotation="90" wrapText="1"/>
    </xf>
    <xf numFmtId="181" fontId="24" fillId="24" borderId="10" xfId="0" applyNumberFormat="1" applyFont="1" applyFill="1" applyBorder="1" applyAlignment="1" applyProtection="1">
      <alignment horizontal="center"/>
      <protection locked="0"/>
    </xf>
    <xf numFmtId="0" fontId="25" fillId="0" borderId="0" xfId="0" applyFont="1" applyAlignment="1">
      <alignment horizontal="right"/>
    </xf>
    <xf numFmtId="166" fontId="24" fillId="24" borderId="10" xfId="0" applyNumberFormat="1" applyFont="1" applyFill="1" applyBorder="1" applyAlignment="1" applyProtection="1">
      <alignment horizontal="left"/>
      <protection locked="0"/>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164" fontId="34" fillId="0" borderId="0" xfId="0" applyNumberFormat="1" applyFont="1" applyFill="1" applyBorder="1" applyAlignment="1">
      <alignment vertical="center"/>
    </xf>
    <xf numFmtId="0" fontId="34" fillId="0" borderId="0" xfId="0" applyFont="1" applyFill="1" applyBorder="1" applyAlignment="1">
      <alignment vertical="center" wrapText="1"/>
    </xf>
    <xf numFmtId="0" fontId="35" fillId="0" borderId="0" xfId="0" applyFont="1" applyAlignment="1">
      <alignment horizontal="center" vertical="center" wrapText="1"/>
    </xf>
    <xf numFmtId="0" fontId="34" fillId="27" borderId="0" xfId="0" applyFont="1" applyFill="1" applyAlignment="1">
      <alignment horizontal="center" vertical="center"/>
    </xf>
    <xf numFmtId="0" fontId="53" fillId="0" borderId="10" xfId="0" applyNumberFormat="1" applyFont="1" applyBorder="1" applyAlignment="1">
      <alignment horizontal="center" vertical="center" wrapText="1"/>
    </xf>
    <xf numFmtId="0" fontId="37" fillId="0" borderId="10" xfId="0" applyFont="1" applyFill="1" applyBorder="1" applyAlignment="1">
      <alignment horizontal="center" vertical="center"/>
    </xf>
    <xf numFmtId="165" fontId="37" fillId="0" borderId="10" xfId="53" applyNumberFormat="1" applyFont="1" applyFill="1" applyBorder="1" applyAlignment="1">
      <alignment horizontal="center" vertical="center" wrapText="1"/>
      <protection/>
    </xf>
    <xf numFmtId="165" fontId="38" fillId="28" borderId="10" xfId="0" applyNumberFormat="1" applyFont="1" applyFill="1" applyBorder="1" applyAlignment="1">
      <alignment horizontal="center" vertical="center"/>
    </xf>
    <xf numFmtId="0" fontId="38" fillId="28" borderId="10" xfId="53" applyFont="1" applyFill="1" applyBorder="1" applyAlignment="1">
      <alignment horizontal="center" vertical="center" wrapText="1"/>
      <protection/>
    </xf>
    <xf numFmtId="0" fontId="37" fillId="0" borderId="10" xfId="53" applyFont="1" applyFill="1" applyBorder="1" applyAlignment="1">
      <alignment horizontal="center" vertical="center" wrapText="1"/>
      <protection/>
    </xf>
    <xf numFmtId="0" fontId="54" fillId="0" borderId="16" xfId="0" applyFont="1" applyBorder="1" applyAlignment="1">
      <alignment vertical="center"/>
    </xf>
    <xf numFmtId="0" fontId="55" fillId="0" borderId="16" xfId="0" applyFont="1" applyFill="1" applyBorder="1" applyAlignment="1">
      <alignment vertical="center" wrapText="1"/>
    </xf>
    <xf numFmtId="0" fontId="54" fillId="0" borderId="16" xfId="0" applyFont="1" applyBorder="1" applyAlignment="1">
      <alignment vertical="center" wrapText="1"/>
    </xf>
    <xf numFmtId="165" fontId="37" fillId="0" borderId="10" xfId="53" applyNumberFormat="1" applyFont="1" applyFill="1" applyBorder="1" applyAlignment="1">
      <alignment horizontal="left" vertical="center" wrapText="1"/>
      <protection/>
    </xf>
    <xf numFmtId="0" fontId="37" fillId="0" borderId="10" xfId="0" applyFont="1" applyFill="1" applyBorder="1" applyAlignment="1">
      <alignment vertical="center"/>
    </xf>
    <xf numFmtId="0" fontId="31" fillId="27" borderId="17" xfId="0" applyFont="1" applyFill="1" applyBorder="1" applyAlignment="1">
      <alignment horizontal="center" vertical="center"/>
    </xf>
    <xf numFmtId="0" fontId="31" fillId="27" borderId="17" xfId="0" applyFont="1" applyFill="1" applyBorder="1" applyAlignment="1">
      <alignment horizontal="center" vertical="center"/>
    </xf>
    <xf numFmtId="0" fontId="38" fillId="28" borderId="11" xfId="0" applyFont="1" applyFill="1" applyBorder="1" applyAlignment="1">
      <alignment horizontal="right" vertical="center"/>
    </xf>
    <xf numFmtId="0" fontId="38" fillId="28" borderId="18" xfId="0" applyFont="1" applyFill="1" applyBorder="1" applyAlignment="1">
      <alignment horizontal="right" vertical="center"/>
    </xf>
    <xf numFmtId="0" fontId="38" fillId="28" borderId="13" xfId="0" applyFont="1" applyFill="1" applyBorder="1" applyAlignment="1">
      <alignment horizontal="right" vertical="center"/>
    </xf>
    <xf numFmtId="164" fontId="40" fillId="27" borderId="11" xfId="0" applyNumberFormat="1" applyFont="1" applyFill="1" applyBorder="1" applyAlignment="1">
      <alignment horizontal="center" vertical="center"/>
    </xf>
    <xf numFmtId="164" fontId="41" fillId="27" borderId="18" xfId="0" applyNumberFormat="1" applyFont="1" applyFill="1" applyBorder="1" applyAlignment="1">
      <alignment horizontal="center" vertical="center"/>
    </xf>
    <xf numFmtId="164" fontId="41" fillId="27" borderId="13" xfId="0" applyNumberFormat="1" applyFont="1" applyFill="1" applyBorder="1" applyAlignment="1">
      <alignment horizontal="center" vertical="center"/>
    </xf>
    <xf numFmtId="0" fontId="21"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22" fillId="0" borderId="0" xfId="44" applyFont="1" applyAlignment="1" applyProtection="1">
      <alignment horizontal="center"/>
      <protection/>
    </xf>
    <xf numFmtId="0" fontId="23" fillId="0" borderId="0" xfId="0" applyFont="1" applyFill="1" applyAlignment="1">
      <alignment horizontal="left"/>
    </xf>
    <xf numFmtId="0" fontId="21"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xf>
    <xf numFmtId="0" fontId="27" fillId="0" borderId="0" xfId="0" applyFont="1" applyAlignment="1">
      <alignment horizontal="center"/>
    </xf>
    <xf numFmtId="0" fontId="28" fillId="8" borderId="0" xfId="0" applyFont="1" applyFill="1" applyAlignment="1">
      <alignment horizontal="left"/>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0" xfId="0" applyFont="1" applyBorder="1" applyAlignment="1">
      <alignment horizontal="left" vertical="center" textRotation="180"/>
    </xf>
    <xf numFmtId="168" fontId="25" fillId="0" borderId="13" xfId="0" applyNumberFormat="1" applyFont="1" applyBorder="1" applyAlignment="1" applyProtection="1">
      <alignment horizontal="center" vertical="center"/>
      <protection locked="0"/>
    </xf>
    <xf numFmtId="177" fontId="25" fillId="0" borderId="10" xfId="0" applyNumberFormat="1" applyFont="1" applyBorder="1" applyAlignment="1">
      <alignment horizontal="center" vertical="center"/>
    </xf>
    <xf numFmtId="177" fontId="25" fillId="0"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0" fontId="28" fillId="26" borderId="0" xfId="0" applyFont="1" applyFill="1" applyAlignment="1">
      <alignment horizontal="left"/>
    </xf>
    <xf numFmtId="0" fontId="26" fillId="0" borderId="0" xfId="0" applyFont="1" applyAlignment="1">
      <alignment horizontal="center"/>
    </xf>
    <xf numFmtId="0" fontId="26" fillId="0" borderId="0" xfId="0" applyFont="1" applyAlignment="1">
      <alignment horizontal="right" vertical="center" textRotation="90"/>
    </xf>
    <xf numFmtId="0" fontId="29" fillId="24" borderId="0" xfId="0" applyFont="1" applyFill="1" applyAlignment="1" applyProtection="1">
      <alignment horizontal="left"/>
      <protection locked="0"/>
    </xf>
    <xf numFmtId="0" fontId="25" fillId="5" borderId="11" xfId="0" applyFont="1" applyFill="1" applyBorder="1" applyAlignment="1">
      <alignment horizontal="left"/>
    </xf>
    <xf numFmtId="0" fontId="25" fillId="5" borderId="18" xfId="0" applyFont="1" applyFill="1" applyBorder="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178" fontId="25" fillId="0" borderId="21" xfId="0" applyNumberFormat="1" applyFont="1" applyBorder="1" applyAlignment="1">
      <alignment horizontal="center" vertical="center"/>
    </xf>
    <xf numFmtId="178" fontId="25" fillId="0" borderId="14" xfId="0" applyNumberFormat="1"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179" fontId="0" fillId="0" borderId="0" xfId="0" applyNumberFormat="1" applyAlignment="1">
      <alignment horizontal="center"/>
    </xf>
    <xf numFmtId="0" fontId="25" fillId="5" borderId="22" xfId="0" applyFont="1" applyFill="1" applyBorder="1" applyAlignment="1">
      <alignment horizontal="center" textRotation="90" wrapText="1"/>
    </xf>
    <xf numFmtId="0" fontId="25" fillId="5" borderId="14" xfId="0" applyFont="1" applyFill="1" applyBorder="1" applyAlignment="1">
      <alignment horizontal="center" textRotation="90" wrapText="1"/>
    </xf>
    <xf numFmtId="0" fontId="25" fillId="0" borderId="0" xfId="0" applyFont="1" applyFill="1" applyAlignment="1">
      <alignment horizontal="right" wrapText="1"/>
    </xf>
    <xf numFmtId="0" fontId="21" fillId="0" borderId="0" xfId="0" applyFont="1" applyFill="1" applyAlignment="1">
      <alignment horizontal="right" wrapText="1"/>
    </xf>
    <xf numFmtId="0" fontId="21" fillId="8" borderId="0" xfId="0" applyFont="1" applyFill="1" applyBorder="1" applyAlignment="1">
      <alignment horizontal="left"/>
    </xf>
    <xf numFmtId="0" fontId="21" fillId="8" borderId="15" xfId="0" applyFont="1" applyFill="1" applyBorder="1" applyAlignment="1">
      <alignment horizontal="left"/>
    </xf>
    <xf numFmtId="0" fontId="56" fillId="0" borderId="16" xfId="0" applyFont="1" applyFill="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0">
    <dxf>
      <fill>
        <patternFill>
          <bgColor indexed="46"/>
        </patternFill>
      </fill>
    </dxf>
    <dxf>
      <fill>
        <patternFill>
          <bgColor indexed="10"/>
        </patternFill>
      </fill>
    </dxf>
    <dxf>
      <fill>
        <patternFill>
          <bgColor indexed="47"/>
        </patternFill>
      </fill>
    </dxf>
    <dxf>
      <fill>
        <patternFill>
          <bgColor indexed="10"/>
        </patternFill>
      </fill>
    </dxf>
    <dxf>
      <fill>
        <patternFill>
          <bgColor indexed="50"/>
        </patternFill>
      </fill>
    </dxf>
    <dxf>
      <fill>
        <patternFill>
          <bgColor indexed="45"/>
        </patternFill>
      </fill>
    </dxf>
    <dxf>
      <fill>
        <patternFill>
          <bgColor indexed="47"/>
        </patternFill>
      </fill>
    </dxf>
    <dxf>
      <fill>
        <patternFill>
          <bgColor indexed="45"/>
        </patternFill>
      </fill>
    </dxf>
    <dxf>
      <fill>
        <patternFill>
          <bgColor indexed="47"/>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prv.pl/" TargetMode="External" /><Relationship Id="rId2" Type="http://schemas.openxmlformats.org/officeDocument/2006/relationships/hyperlink" Target="http://www.cosmo.prv.p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86" zoomScaleNormal="86" zoomScalePageLayoutView="0" workbookViewId="0" topLeftCell="A5">
      <selection activeCell="D5" sqref="D5"/>
    </sheetView>
  </sheetViews>
  <sheetFormatPr defaultColWidth="9.140625" defaultRowHeight="12.75"/>
  <cols>
    <col min="1" max="1" width="6.421875" style="73" customWidth="1"/>
    <col min="2" max="2" width="20.8515625" style="76" customWidth="1"/>
    <col min="3" max="3" width="154.8515625" style="76" customWidth="1"/>
    <col min="4" max="4" width="30.421875" style="75" customWidth="1"/>
    <col min="5" max="5" width="15.7109375" style="73" customWidth="1"/>
    <col min="6" max="6" width="13.8515625" style="73" customWidth="1"/>
    <col min="7" max="7" width="18.8515625" style="73" customWidth="1"/>
    <col min="9" max="16384" width="9.140625" style="74" customWidth="1"/>
  </cols>
  <sheetData>
    <row r="1" spans="1:7" ht="30" customHeight="1">
      <c r="A1" s="90" t="s">
        <v>83</v>
      </c>
      <c r="B1" s="91"/>
      <c r="C1" s="77"/>
      <c r="D1" s="78"/>
      <c r="E1" s="95" t="s">
        <v>82</v>
      </c>
      <c r="F1" s="96"/>
      <c r="G1" s="97"/>
    </row>
    <row r="2" spans="1:8" ht="62.25" customHeight="1">
      <c r="A2" s="83" t="s">
        <v>1</v>
      </c>
      <c r="B2" s="83" t="s">
        <v>81</v>
      </c>
      <c r="C2" s="83" t="s">
        <v>79</v>
      </c>
      <c r="D2" s="83" t="s">
        <v>87</v>
      </c>
      <c r="E2" s="83" t="s">
        <v>0</v>
      </c>
      <c r="F2" s="83" t="s">
        <v>77</v>
      </c>
      <c r="G2" s="83" t="s">
        <v>76</v>
      </c>
      <c r="H2" s="74"/>
    </row>
    <row r="3" spans="1:8" ht="12.75">
      <c r="A3" s="83">
        <v>1</v>
      </c>
      <c r="B3" s="83">
        <v>2</v>
      </c>
      <c r="C3" s="83">
        <v>3</v>
      </c>
      <c r="D3" s="83">
        <v>4</v>
      </c>
      <c r="E3" s="83">
        <v>5</v>
      </c>
      <c r="F3" s="83">
        <v>6</v>
      </c>
      <c r="G3" s="83" t="s">
        <v>80</v>
      </c>
      <c r="H3" s="74"/>
    </row>
    <row r="4" spans="1:8" ht="358.5" customHeight="1">
      <c r="A4" s="84">
        <v>1</v>
      </c>
      <c r="B4" s="85" t="s">
        <v>84</v>
      </c>
      <c r="C4" s="86" t="s">
        <v>85</v>
      </c>
      <c r="D4" s="88"/>
      <c r="E4" s="79">
        <v>1</v>
      </c>
      <c r="F4" s="81"/>
      <c r="G4" s="81">
        <f>E4*F4</f>
        <v>0</v>
      </c>
      <c r="H4" s="74"/>
    </row>
    <row r="5" spans="1:8" ht="368.25" customHeight="1">
      <c r="A5" s="84">
        <v>2</v>
      </c>
      <c r="B5" s="87" t="s">
        <v>86</v>
      </c>
      <c r="C5" s="138" t="s">
        <v>88</v>
      </c>
      <c r="D5" s="89"/>
      <c r="E5" s="80">
        <v>1</v>
      </c>
      <c r="F5" s="89"/>
      <c r="G5" s="81">
        <f>E5*F5</f>
        <v>0</v>
      </c>
      <c r="H5" s="74"/>
    </row>
    <row r="6" spans="1:8" ht="37.5" customHeight="1">
      <c r="A6" s="92" t="s">
        <v>78</v>
      </c>
      <c r="B6" s="93"/>
      <c r="C6" s="93"/>
      <c r="D6" s="93"/>
      <c r="E6" s="93"/>
      <c r="F6" s="94"/>
      <c r="G6" s="82">
        <f>SUM(G4:G5)</f>
        <v>0</v>
      </c>
      <c r="H6" s="74"/>
    </row>
    <row r="7" ht="12">
      <c r="H7" s="74"/>
    </row>
    <row r="8" ht="12">
      <c r="H8" s="74"/>
    </row>
    <row r="9" ht="12">
      <c r="H9" s="74"/>
    </row>
    <row r="10" ht="12">
      <c r="H10" s="74"/>
    </row>
    <row r="11" ht="12">
      <c r="H11" s="74"/>
    </row>
    <row r="12" ht="12">
      <c r="H12" s="74"/>
    </row>
    <row r="13" ht="12">
      <c r="H13" s="74"/>
    </row>
    <row r="14" ht="12">
      <c r="H14" s="74"/>
    </row>
    <row r="15" ht="12">
      <c r="H15" s="74"/>
    </row>
    <row r="16" ht="12">
      <c r="H16" s="74"/>
    </row>
  </sheetData>
  <sheetProtection/>
  <mergeCells count="3">
    <mergeCell ref="A1:B1"/>
    <mergeCell ref="A6:F6"/>
    <mergeCell ref="E1:G1"/>
  </mergeCells>
  <printOptions/>
  <pageMargins left="0.2362204724409449" right="0.2362204724409449" top="0.3937007874015748" bottom="0.3937007874015748" header="0" footer="0"/>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85"/>
  <sheetViews>
    <sheetView zoomScale="130" zoomScaleNormal="130" zoomScalePageLayoutView="0" workbookViewId="0" topLeftCell="A1">
      <selection activeCell="F59" sqref="F59"/>
    </sheetView>
  </sheetViews>
  <sheetFormatPr defaultColWidth="9.140625" defaultRowHeight="12.75"/>
  <sheetData>
    <row r="1" spans="2:15" ht="12.75">
      <c r="B1" s="1"/>
      <c r="C1" s="1"/>
      <c r="D1" s="1"/>
      <c r="E1" s="1"/>
      <c r="F1" s="1"/>
      <c r="G1" s="1"/>
      <c r="H1" s="1"/>
      <c r="I1" s="1"/>
      <c r="J1" s="1"/>
      <c r="K1" s="1"/>
      <c r="L1" s="1"/>
      <c r="M1" s="1"/>
      <c r="N1" s="1"/>
      <c r="O1" s="1"/>
    </row>
    <row r="2" spans="2:15" ht="12.75">
      <c r="B2" s="1"/>
      <c r="C2" s="1"/>
      <c r="D2" s="1"/>
      <c r="E2" s="1"/>
      <c r="F2" s="1"/>
      <c r="G2" s="1"/>
      <c r="H2" s="1"/>
      <c r="I2" s="1"/>
      <c r="J2" s="1"/>
      <c r="K2" s="1"/>
      <c r="L2" s="1"/>
      <c r="M2" s="1"/>
      <c r="N2" s="1"/>
      <c r="O2" s="1"/>
    </row>
    <row r="3" spans="2:16" ht="20.25">
      <c r="B3" s="99" t="s">
        <v>2</v>
      </c>
      <c r="C3" s="99"/>
      <c r="D3" s="99"/>
      <c r="E3" s="99"/>
      <c r="F3" s="99"/>
      <c r="G3" s="99"/>
      <c r="H3" s="99"/>
      <c r="I3" s="99"/>
      <c r="J3" s="99"/>
      <c r="K3" s="99"/>
      <c r="L3" s="99"/>
      <c r="M3" s="99"/>
      <c r="N3" s="99"/>
      <c r="O3" s="99"/>
      <c r="P3" s="99"/>
    </row>
    <row r="4" spans="2:16" ht="12.75">
      <c r="B4" s="100" t="s">
        <v>3</v>
      </c>
      <c r="C4" s="100"/>
      <c r="D4" s="100"/>
      <c r="E4" s="100"/>
      <c r="F4" s="100"/>
      <c r="G4" s="100"/>
      <c r="H4" s="100"/>
      <c r="I4" s="100"/>
      <c r="J4" s="100"/>
      <c r="K4" s="100"/>
      <c r="L4" s="100"/>
      <c r="M4" s="100"/>
      <c r="N4" s="100"/>
      <c r="O4" s="100"/>
      <c r="P4" s="100"/>
    </row>
    <row r="5" spans="2:16" ht="12.75">
      <c r="B5" s="101" t="s">
        <v>4</v>
      </c>
      <c r="C5" s="101"/>
      <c r="D5" s="101"/>
      <c r="E5" s="101"/>
      <c r="F5" s="101"/>
      <c r="G5" s="101"/>
      <c r="H5" s="101"/>
      <c r="I5" s="101"/>
      <c r="J5" s="101"/>
      <c r="K5" s="101"/>
      <c r="L5" s="101"/>
      <c r="M5" s="101"/>
      <c r="N5" s="101"/>
      <c r="O5" s="101"/>
      <c r="P5" s="101"/>
    </row>
    <row r="6" spans="2:16" ht="20.25">
      <c r="B6" s="2"/>
      <c r="C6" s="2"/>
      <c r="D6" s="2"/>
      <c r="E6" s="2"/>
      <c r="F6" s="2"/>
      <c r="G6" s="2"/>
      <c r="H6" s="2"/>
      <c r="I6" s="2"/>
      <c r="J6" s="2"/>
      <c r="K6" s="2"/>
      <c r="L6" s="2"/>
      <c r="M6" s="2"/>
      <c r="N6" s="2"/>
      <c r="O6" s="2"/>
      <c r="P6" s="2"/>
    </row>
    <row r="7" spans="2:15" ht="12.75">
      <c r="B7" s="1"/>
      <c r="C7" s="1"/>
      <c r="D7" s="1"/>
      <c r="E7" s="1"/>
      <c r="F7" s="1"/>
      <c r="G7" s="1"/>
      <c r="H7" s="1"/>
      <c r="I7" s="1"/>
      <c r="J7" s="1"/>
      <c r="K7" s="1"/>
      <c r="L7" s="1"/>
      <c r="M7" s="1"/>
      <c r="N7" s="1"/>
      <c r="O7" s="1"/>
    </row>
    <row r="8" spans="2:15" ht="12.75">
      <c r="B8" s="102" t="s">
        <v>5</v>
      </c>
      <c r="C8" s="102"/>
      <c r="D8" s="102"/>
      <c r="E8" s="102"/>
      <c r="F8" s="3">
        <v>70</v>
      </c>
      <c r="G8" s="1"/>
      <c r="H8" s="1"/>
      <c r="I8" s="1"/>
      <c r="J8" s="1"/>
      <c r="K8" s="1"/>
      <c r="L8" s="1"/>
      <c r="M8" s="1"/>
      <c r="N8" s="1"/>
      <c r="O8" s="1"/>
    </row>
    <row r="9" spans="2:15" ht="12.75">
      <c r="B9" s="102" t="s">
        <v>6</v>
      </c>
      <c r="C9" s="102"/>
      <c r="D9" s="102"/>
      <c r="E9" s="102"/>
      <c r="F9" s="3">
        <v>420</v>
      </c>
      <c r="G9" s="1"/>
      <c r="H9" s="1"/>
      <c r="I9" s="1"/>
      <c r="J9" s="1"/>
      <c r="K9" s="1"/>
      <c r="L9" s="1"/>
      <c r="M9" s="1"/>
      <c r="N9" s="1"/>
      <c r="O9" s="1"/>
    </row>
    <row r="10" spans="2:15" ht="12.75">
      <c r="B10" s="98" t="s">
        <v>7</v>
      </c>
      <c r="C10" s="98"/>
      <c r="D10" s="98"/>
      <c r="E10" s="98"/>
      <c r="F10" s="4">
        <f>f/d</f>
        <v>6</v>
      </c>
      <c r="G10" s="1"/>
      <c r="H10" s="1"/>
      <c r="I10" s="1"/>
      <c r="J10" s="1"/>
      <c r="K10" s="1"/>
      <c r="L10" s="1"/>
      <c r="M10" s="1"/>
      <c r="N10" s="1"/>
      <c r="O10" s="1"/>
    </row>
    <row r="11" spans="2:15" ht="12.75">
      <c r="B11" s="103" t="s">
        <v>8</v>
      </c>
      <c r="C11" s="103"/>
      <c r="D11" s="103"/>
      <c r="E11" s="103"/>
      <c r="F11" s="5">
        <f>120/d</f>
        <v>1.7142857142857142</v>
      </c>
      <c r="G11" s="1"/>
      <c r="H11" s="1"/>
      <c r="I11" s="1"/>
      <c r="J11" s="1"/>
      <c r="K11" s="1"/>
      <c r="L11" s="1"/>
      <c r="M11" s="1"/>
      <c r="N11" s="1"/>
      <c r="O11" s="1"/>
    </row>
    <row r="12" spans="2:15" ht="12.75">
      <c r="B12" s="104" t="s">
        <v>9</v>
      </c>
      <c r="C12" s="104"/>
      <c r="D12" s="104"/>
      <c r="E12" s="104"/>
      <c r="F12" s="6">
        <f>LN(d)*2.403</f>
        <v>10.20913406664461</v>
      </c>
      <c r="G12" s="105" t="s">
        <v>10</v>
      </c>
      <c r="H12" s="105"/>
      <c r="I12" s="1"/>
      <c r="J12" s="1"/>
      <c r="K12" s="1"/>
      <c r="L12" s="1"/>
      <c r="M12" s="1"/>
      <c r="N12" s="1"/>
      <c r="O12" s="1"/>
    </row>
    <row r="13" spans="2:15" ht="12.75">
      <c r="B13" s="104"/>
      <c r="C13" s="104"/>
      <c r="D13" s="104"/>
      <c r="E13" s="104"/>
      <c r="F13" s="6">
        <f>LN(d)*2.753</f>
        <v>11.696107401361887</v>
      </c>
      <c r="G13" s="105" t="s">
        <v>11</v>
      </c>
      <c r="H13" s="105"/>
      <c r="I13" s="1"/>
      <c r="J13" s="1"/>
      <c r="K13" s="1"/>
      <c r="L13" s="1"/>
      <c r="M13" s="1"/>
      <c r="N13" s="1"/>
      <c r="O13" s="1"/>
    </row>
    <row r="14" spans="2:15" ht="12.75">
      <c r="B14" s="103" t="s">
        <v>12</v>
      </c>
      <c r="C14" s="103"/>
      <c r="D14" s="103"/>
      <c r="E14" s="103"/>
      <c r="F14" s="7">
        <f>(3.141592*((d/2)*(d/2)))/(3.141592*((J16/2)*(J16/2)))</f>
        <v>196</v>
      </c>
      <c r="G14" s="105" t="s">
        <v>13</v>
      </c>
      <c r="H14" s="105"/>
      <c r="I14" s="8">
        <f>J16</f>
        <v>5</v>
      </c>
      <c r="J14" s="1"/>
      <c r="K14" s="1"/>
      <c r="L14" s="1"/>
      <c r="M14" s="1"/>
      <c r="N14" s="1"/>
      <c r="O14" s="1"/>
    </row>
    <row r="15" spans="2:15" ht="12.75">
      <c r="B15" s="103" t="s">
        <v>14</v>
      </c>
      <c r="C15" s="103"/>
      <c r="D15" s="103"/>
      <c r="E15" s="103"/>
      <c r="F15" s="9">
        <f>d*2</f>
        <v>140</v>
      </c>
      <c r="G15" s="10" t="s">
        <v>15</v>
      </c>
      <c r="H15" s="11">
        <f>f/F15</f>
        <v>3</v>
      </c>
      <c r="I15" s="1"/>
      <c r="J15" s="1"/>
      <c r="K15" s="1"/>
      <c r="L15" s="1"/>
      <c r="M15" s="1"/>
      <c r="N15" s="1"/>
      <c r="O15" s="1"/>
    </row>
    <row r="16" spans="2:15" ht="12.75">
      <c r="B16" s="103" t="s">
        <v>16</v>
      </c>
      <c r="C16" s="103"/>
      <c r="D16" s="103"/>
      <c r="E16" s="103"/>
      <c r="F16" s="9">
        <f>(d/J16)</f>
        <v>14</v>
      </c>
      <c r="G16" s="10" t="s">
        <v>15</v>
      </c>
      <c r="H16" s="11">
        <f>f/(d/J16)</f>
        <v>30</v>
      </c>
      <c r="I16" s="10" t="s">
        <v>17</v>
      </c>
      <c r="J16" s="12">
        <v>5</v>
      </c>
      <c r="K16" s="1"/>
      <c r="L16" s="1"/>
      <c r="M16" s="1"/>
      <c r="N16" s="1"/>
      <c r="O16" s="1"/>
    </row>
    <row r="17" spans="1:15" ht="12.75">
      <c r="A17" s="13"/>
      <c r="B17" s="14"/>
      <c r="C17" s="14"/>
      <c r="D17" s="14"/>
      <c r="E17" s="14"/>
      <c r="F17" s="1"/>
      <c r="G17" s="1"/>
      <c r="H17" s="1"/>
      <c r="I17" s="1"/>
      <c r="J17" s="1"/>
      <c r="K17" s="1"/>
      <c r="L17" s="1"/>
      <c r="M17" s="1"/>
      <c r="N17" s="1"/>
      <c r="O17" s="1"/>
    </row>
    <row r="18" spans="2:15" ht="12.75">
      <c r="B18" s="14"/>
      <c r="C18" s="14"/>
      <c r="D18" s="14"/>
      <c r="E18" s="14"/>
      <c r="F18" s="1"/>
      <c r="G18" s="1"/>
      <c r="H18" s="1"/>
      <c r="I18" s="1"/>
      <c r="J18" s="1"/>
      <c r="K18" s="1"/>
      <c r="L18" s="1"/>
      <c r="M18" s="1"/>
      <c r="N18" s="1"/>
      <c r="O18" s="1"/>
    </row>
    <row r="19" spans="1:15" ht="12.75">
      <c r="A19" s="15"/>
      <c r="B19" s="14"/>
      <c r="C19" s="106" t="s">
        <v>18</v>
      </c>
      <c r="D19" s="106"/>
      <c r="E19" s="106"/>
      <c r="F19" s="106"/>
      <c r="G19" s="106"/>
      <c r="H19" s="106"/>
      <c r="I19" s="106"/>
      <c r="J19" s="106"/>
      <c r="K19" s="106"/>
      <c r="L19" s="106"/>
      <c r="M19" s="106"/>
      <c r="N19" s="106"/>
      <c r="O19" s="106"/>
    </row>
    <row r="20" spans="2:15" ht="12.75">
      <c r="B20" s="1"/>
      <c r="C20" s="1"/>
      <c r="D20" s="1"/>
      <c r="E20" s="1"/>
      <c r="F20" s="1"/>
      <c r="G20" s="1"/>
      <c r="H20" s="1"/>
      <c r="I20" s="1"/>
      <c r="J20" s="1"/>
      <c r="K20" s="1"/>
      <c r="L20" s="1"/>
      <c r="M20" s="1"/>
      <c r="N20" s="1"/>
      <c r="O20" s="1"/>
    </row>
    <row r="21" spans="2:15" ht="12.75">
      <c r="B21" s="1"/>
      <c r="C21" s="118" t="s">
        <v>19</v>
      </c>
      <c r="D21" s="118"/>
      <c r="E21" s="118"/>
      <c r="F21" s="118"/>
      <c r="G21" s="118"/>
      <c r="H21" s="118"/>
      <c r="I21" s="118"/>
      <c r="J21" s="118"/>
      <c r="K21" s="118"/>
      <c r="L21" s="118"/>
      <c r="M21" s="118"/>
      <c r="N21" s="118"/>
      <c r="O21" s="118"/>
    </row>
    <row r="22" spans="2:15" ht="12.75">
      <c r="B22" s="16"/>
      <c r="C22" s="17">
        <v>30</v>
      </c>
      <c r="D22" s="17">
        <v>35</v>
      </c>
      <c r="E22" s="17">
        <v>40</v>
      </c>
      <c r="F22" s="17">
        <v>45</v>
      </c>
      <c r="G22" s="17">
        <v>50</v>
      </c>
      <c r="H22" s="17">
        <v>55</v>
      </c>
      <c r="I22" s="17">
        <v>60</v>
      </c>
      <c r="J22" s="17">
        <v>65</v>
      </c>
      <c r="K22" s="17">
        <v>70</v>
      </c>
      <c r="L22" s="17">
        <v>75</v>
      </c>
      <c r="M22" s="17">
        <v>80</v>
      </c>
      <c r="N22" s="17">
        <v>85</v>
      </c>
      <c r="O22" s="17">
        <v>90</v>
      </c>
    </row>
    <row r="23" spans="1:17" ht="12.75">
      <c r="A23" s="119" t="s">
        <v>20</v>
      </c>
      <c r="B23" s="18">
        <v>5</v>
      </c>
      <c r="C23" s="19">
        <f>(B23/f*C22)*60</f>
        <v>21.428571428571427</v>
      </c>
      <c r="D23" s="19">
        <f>(B23/f*D22)*60</f>
        <v>24.999999999999996</v>
      </c>
      <c r="E23" s="19">
        <f>(B23/f*E22)*60</f>
        <v>28.57142857142857</v>
      </c>
      <c r="F23" s="19">
        <f>(B23/f*F22)*60</f>
        <v>32.14285714285714</v>
      </c>
      <c r="G23" s="19">
        <f>(B23/f*G22)*60</f>
        <v>35.714285714285715</v>
      </c>
      <c r="H23" s="19">
        <f>(B23/f*H22)*60</f>
        <v>39.285714285714285</v>
      </c>
      <c r="I23" s="19">
        <f>(B23/f*I22)*60</f>
        <v>42.857142857142854</v>
      </c>
      <c r="J23" s="19">
        <f>(B23/f*J22)*60</f>
        <v>46.42857142857142</v>
      </c>
      <c r="K23" s="19">
        <f>(B23/f*K22)*60</f>
        <v>49.99999999999999</v>
      </c>
      <c r="L23" s="19">
        <f>(B23/f*L22)*60</f>
        <v>53.57142857142857</v>
      </c>
      <c r="M23" s="19">
        <f>(B23/f*M22)*60</f>
        <v>57.14285714285714</v>
      </c>
      <c r="N23" s="19">
        <f>(B23/f*N22)*60</f>
        <v>60.71428571428571</v>
      </c>
      <c r="O23" s="20">
        <f>(B23/f*O22)*60</f>
        <v>64.28571428571428</v>
      </c>
      <c r="P23" s="21">
        <f>f/B23</f>
        <v>84</v>
      </c>
      <c r="Q23" s="112" t="s">
        <v>21</v>
      </c>
    </row>
    <row r="24" spans="1:17" ht="12.75">
      <c r="A24" s="119"/>
      <c r="B24" s="18">
        <v>10</v>
      </c>
      <c r="C24" s="19">
        <f>f_10/f*C22*60</f>
        <v>42.857142857142854</v>
      </c>
      <c r="D24" s="19">
        <f aca="true" t="shared" si="0" ref="D24:O24">f_10/f*D22*60</f>
        <v>49.99999999999999</v>
      </c>
      <c r="E24" s="19">
        <f t="shared" si="0"/>
        <v>57.14285714285714</v>
      </c>
      <c r="F24" s="19">
        <f t="shared" si="0"/>
        <v>64.28571428571428</v>
      </c>
      <c r="G24" s="19">
        <f t="shared" si="0"/>
        <v>71.42857142857143</v>
      </c>
      <c r="H24" s="19">
        <f t="shared" si="0"/>
        <v>78.57142857142857</v>
      </c>
      <c r="I24" s="22">
        <f t="shared" si="0"/>
        <v>85.71428571428571</v>
      </c>
      <c r="J24" s="23">
        <f t="shared" si="0"/>
        <v>92.85714285714285</v>
      </c>
      <c r="K24" s="19">
        <f t="shared" si="0"/>
        <v>99.99999999999999</v>
      </c>
      <c r="L24" s="19">
        <f t="shared" si="0"/>
        <v>107.14285714285714</v>
      </c>
      <c r="M24" s="19">
        <f t="shared" si="0"/>
        <v>114.28571428571428</v>
      </c>
      <c r="N24" s="19">
        <f t="shared" si="0"/>
        <v>121.42857142857142</v>
      </c>
      <c r="O24" s="20">
        <f t="shared" si="0"/>
        <v>128.57142857142856</v>
      </c>
      <c r="P24" s="21">
        <f aca="true" t="shared" si="1" ref="P24:P33">f/B24</f>
        <v>42</v>
      </c>
      <c r="Q24" s="112"/>
    </row>
    <row r="25" spans="1:17" ht="12.75">
      <c r="A25" s="119"/>
      <c r="B25" s="18">
        <v>15</v>
      </c>
      <c r="C25" s="19">
        <f>f_15/f*C22*60</f>
        <v>64.28571428571428</v>
      </c>
      <c r="D25" s="19">
        <f aca="true" t="shared" si="2" ref="D25:O25">f_15/f*D22*60</f>
        <v>75</v>
      </c>
      <c r="E25" s="19">
        <f t="shared" si="2"/>
        <v>85.71428571428571</v>
      </c>
      <c r="F25" s="19">
        <f t="shared" si="2"/>
        <v>96.42857142857142</v>
      </c>
      <c r="G25" s="19">
        <f t="shared" si="2"/>
        <v>107.14285714285714</v>
      </c>
      <c r="H25" s="19">
        <f t="shared" si="2"/>
        <v>117.85714285714285</v>
      </c>
      <c r="I25" s="19">
        <f t="shared" si="2"/>
        <v>128.57142857142856</v>
      </c>
      <c r="J25" s="19">
        <f t="shared" si="2"/>
        <v>139.28571428571428</v>
      </c>
      <c r="K25" s="19">
        <f t="shared" si="2"/>
        <v>150</v>
      </c>
      <c r="L25" s="19">
        <f t="shared" si="2"/>
        <v>160.7142857142857</v>
      </c>
      <c r="M25" s="19">
        <f t="shared" si="2"/>
        <v>171.42857142857142</v>
      </c>
      <c r="N25" s="19">
        <f t="shared" si="2"/>
        <v>182.14285714285714</v>
      </c>
      <c r="O25" s="20">
        <f t="shared" si="2"/>
        <v>192.85714285714283</v>
      </c>
      <c r="P25" s="21">
        <f t="shared" si="1"/>
        <v>28</v>
      </c>
      <c r="Q25" s="112"/>
    </row>
    <row r="26" spans="1:17" ht="12.75">
      <c r="A26" s="119"/>
      <c r="B26" s="18">
        <v>20</v>
      </c>
      <c r="C26" s="19">
        <f>f_20/f*C22*60</f>
        <v>85.71428571428571</v>
      </c>
      <c r="D26" s="19">
        <f aca="true" t="shared" si="3" ref="D26:O26">f_20/f*D22*60</f>
        <v>99.99999999999999</v>
      </c>
      <c r="E26" s="19">
        <f t="shared" si="3"/>
        <v>114.28571428571428</v>
      </c>
      <c r="F26" s="19">
        <f t="shared" si="3"/>
        <v>128.57142857142856</v>
      </c>
      <c r="G26" s="19">
        <f t="shared" si="3"/>
        <v>142.85714285714286</v>
      </c>
      <c r="H26" s="23">
        <f t="shared" si="3"/>
        <v>157.14285714285714</v>
      </c>
      <c r="I26" s="19">
        <f t="shared" si="3"/>
        <v>171.42857142857142</v>
      </c>
      <c r="J26" s="19">
        <f t="shared" si="3"/>
        <v>185.7142857142857</v>
      </c>
      <c r="K26" s="19">
        <f t="shared" si="3"/>
        <v>199.99999999999997</v>
      </c>
      <c r="L26" s="19">
        <f t="shared" si="3"/>
        <v>214.28571428571428</v>
      </c>
      <c r="M26" s="19">
        <f t="shared" si="3"/>
        <v>228.57142857142856</v>
      </c>
      <c r="N26" s="19">
        <f t="shared" si="3"/>
        <v>242.85714285714283</v>
      </c>
      <c r="O26" s="20">
        <f t="shared" si="3"/>
        <v>257.1428571428571</v>
      </c>
      <c r="P26" s="21">
        <f t="shared" si="1"/>
        <v>21</v>
      </c>
      <c r="Q26" s="112"/>
    </row>
    <row r="27" spans="1:17" ht="12.75">
      <c r="A27" s="119"/>
      <c r="B27" s="18">
        <v>25</v>
      </c>
      <c r="C27" s="19">
        <f>f_25/f*C22*60</f>
        <v>107.14285714285714</v>
      </c>
      <c r="D27" s="19">
        <f aca="true" t="shared" si="4" ref="D27:O27">f_25/f*D22*60</f>
        <v>124.99999999999999</v>
      </c>
      <c r="E27" s="19">
        <f t="shared" si="4"/>
        <v>142.85714285714286</v>
      </c>
      <c r="F27" s="22">
        <f t="shared" si="4"/>
        <v>160.7142857142857</v>
      </c>
      <c r="G27" s="19">
        <f t="shared" si="4"/>
        <v>178.57142857142856</v>
      </c>
      <c r="H27" s="19">
        <f t="shared" si="4"/>
        <v>196.42857142857142</v>
      </c>
      <c r="I27" s="23">
        <f t="shared" si="4"/>
        <v>214.28571428571428</v>
      </c>
      <c r="J27" s="19">
        <f t="shared" si="4"/>
        <v>232.1428571428571</v>
      </c>
      <c r="K27" s="19">
        <f t="shared" si="4"/>
        <v>249.99999999999997</v>
      </c>
      <c r="L27" s="19">
        <f t="shared" si="4"/>
        <v>267.8571428571429</v>
      </c>
      <c r="M27" s="19">
        <f t="shared" si="4"/>
        <v>285.7142857142857</v>
      </c>
      <c r="N27" s="19">
        <f t="shared" si="4"/>
        <v>303.57142857142856</v>
      </c>
      <c r="O27" s="20">
        <f t="shared" si="4"/>
        <v>321.4285714285714</v>
      </c>
      <c r="P27" s="21">
        <f t="shared" si="1"/>
        <v>16.8</v>
      </c>
      <c r="Q27" s="112"/>
    </row>
    <row r="28" spans="1:17" ht="12.75">
      <c r="A28" s="119"/>
      <c r="B28" s="18">
        <v>30</v>
      </c>
      <c r="C28" s="19">
        <f>f_30/f*C22*60</f>
        <v>128.57142857142856</v>
      </c>
      <c r="D28" s="19">
        <f aca="true" t="shared" si="5" ref="D28:O28">f_30/f*D22*60</f>
        <v>150</v>
      </c>
      <c r="E28" s="19">
        <f t="shared" si="5"/>
        <v>171.42857142857142</v>
      </c>
      <c r="F28" s="19">
        <f t="shared" si="5"/>
        <v>192.85714285714283</v>
      </c>
      <c r="G28" s="22">
        <f>f_30/f*G22*60</f>
        <v>214.28571428571428</v>
      </c>
      <c r="H28" s="19">
        <f t="shared" si="5"/>
        <v>235.7142857142857</v>
      </c>
      <c r="I28" s="19">
        <f t="shared" si="5"/>
        <v>257.1428571428571</v>
      </c>
      <c r="J28" s="19">
        <f t="shared" si="5"/>
        <v>278.57142857142856</v>
      </c>
      <c r="K28" s="19">
        <f t="shared" si="5"/>
        <v>300</v>
      </c>
      <c r="L28" s="19">
        <f t="shared" si="5"/>
        <v>321.4285714285714</v>
      </c>
      <c r="M28" s="19">
        <f t="shared" si="5"/>
        <v>342.85714285714283</v>
      </c>
      <c r="N28" s="19">
        <f t="shared" si="5"/>
        <v>364.2857142857143</v>
      </c>
      <c r="O28" s="20">
        <f t="shared" si="5"/>
        <v>385.71428571428567</v>
      </c>
      <c r="P28" s="21">
        <f t="shared" si="1"/>
        <v>14</v>
      </c>
      <c r="Q28" s="112"/>
    </row>
    <row r="29" spans="1:17" ht="12.75">
      <c r="A29" s="119"/>
      <c r="B29" s="18">
        <v>35</v>
      </c>
      <c r="C29" s="19">
        <f>f_35/f*C22*60</f>
        <v>150</v>
      </c>
      <c r="D29" s="19">
        <f aca="true" t="shared" si="6" ref="D29:O29">f_35/f*D22*60</f>
        <v>175</v>
      </c>
      <c r="E29" s="19">
        <f t="shared" si="6"/>
        <v>199.99999999999997</v>
      </c>
      <c r="F29" s="19">
        <f t="shared" si="6"/>
        <v>225</v>
      </c>
      <c r="G29" s="19">
        <f t="shared" si="6"/>
        <v>249.99999999999997</v>
      </c>
      <c r="H29" s="19">
        <f t="shared" si="6"/>
        <v>275</v>
      </c>
      <c r="I29" s="19">
        <f t="shared" si="6"/>
        <v>300</v>
      </c>
      <c r="J29" s="19">
        <f t="shared" si="6"/>
        <v>324.99999999999994</v>
      </c>
      <c r="K29" s="19">
        <f t="shared" si="6"/>
        <v>350</v>
      </c>
      <c r="L29" s="19">
        <f t="shared" si="6"/>
        <v>375</v>
      </c>
      <c r="M29" s="19">
        <f t="shared" si="6"/>
        <v>399.99999999999994</v>
      </c>
      <c r="N29" s="19">
        <f t="shared" si="6"/>
        <v>425</v>
      </c>
      <c r="O29" s="20">
        <f t="shared" si="6"/>
        <v>450</v>
      </c>
      <c r="P29" s="21">
        <f t="shared" si="1"/>
        <v>12</v>
      </c>
      <c r="Q29" s="112"/>
    </row>
    <row r="30" spans="1:17" ht="12.75">
      <c r="A30" s="119"/>
      <c r="B30" s="18">
        <v>40</v>
      </c>
      <c r="C30" s="19">
        <f>f_40/f*C22*60</f>
        <v>171.42857142857142</v>
      </c>
      <c r="D30" s="19">
        <f aca="true" t="shared" si="7" ref="D30:O30">f_40/f*D22*60</f>
        <v>199.99999999999997</v>
      </c>
      <c r="E30" s="19">
        <f t="shared" si="7"/>
        <v>228.57142857142856</v>
      </c>
      <c r="F30" s="19">
        <f t="shared" si="7"/>
        <v>257.1428571428571</v>
      </c>
      <c r="G30" s="19">
        <f t="shared" si="7"/>
        <v>285.7142857142857</v>
      </c>
      <c r="H30" s="19">
        <f t="shared" si="7"/>
        <v>314.2857142857143</v>
      </c>
      <c r="I30" s="19">
        <f t="shared" si="7"/>
        <v>342.85714285714283</v>
      </c>
      <c r="J30" s="19">
        <f t="shared" si="7"/>
        <v>371.4285714285714</v>
      </c>
      <c r="K30" s="19">
        <f t="shared" si="7"/>
        <v>399.99999999999994</v>
      </c>
      <c r="L30" s="19">
        <f t="shared" si="7"/>
        <v>428.57142857142856</v>
      </c>
      <c r="M30" s="19">
        <f t="shared" si="7"/>
        <v>457.1428571428571</v>
      </c>
      <c r="N30" s="19">
        <f t="shared" si="7"/>
        <v>485.71428571428567</v>
      </c>
      <c r="O30" s="20">
        <f t="shared" si="7"/>
        <v>514.2857142857142</v>
      </c>
      <c r="P30" s="21">
        <f t="shared" si="1"/>
        <v>10.5</v>
      </c>
      <c r="Q30" s="112"/>
    </row>
    <row r="31" spans="1:17" ht="12.75">
      <c r="A31" s="119"/>
      <c r="B31" s="18">
        <v>45</v>
      </c>
      <c r="C31" s="19">
        <f>f_45/f*C22*60</f>
        <v>192.85714285714283</v>
      </c>
      <c r="D31" s="19">
        <f aca="true" t="shared" si="8" ref="D31:O31">f_45/f*D22*60</f>
        <v>225</v>
      </c>
      <c r="E31" s="19">
        <f t="shared" si="8"/>
        <v>257.1428571428571</v>
      </c>
      <c r="F31" s="19">
        <f t="shared" si="8"/>
        <v>289.2857142857143</v>
      </c>
      <c r="G31" s="19">
        <f t="shared" si="8"/>
        <v>321.4285714285714</v>
      </c>
      <c r="H31" s="19">
        <f t="shared" si="8"/>
        <v>353.57142857142856</v>
      </c>
      <c r="I31" s="19">
        <f t="shared" si="8"/>
        <v>385.71428571428567</v>
      </c>
      <c r="J31" s="19">
        <f t="shared" si="8"/>
        <v>417.85714285714283</v>
      </c>
      <c r="K31" s="19">
        <f t="shared" si="8"/>
        <v>450</v>
      </c>
      <c r="L31" s="19">
        <f t="shared" si="8"/>
        <v>482.1428571428571</v>
      </c>
      <c r="M31" s="19">
        <f t="shared" si="8"/>
        <v>514.2857142857142</v>
      </c>
      <c r="N31" s="19">
        <f t="shared" si="8"/>
        <v>546.4285714285713</v>
      </c>
      <c r="O31" s="20">
        <f t="shared" si="8"/>
        <v>578.5714285714286</v>
      </c>
      <c r="P31" s="21">
        <f t="shared" si="1"/>
        <v>9.333333333333334</v>
      </c>
      <c r="Q31" s="112"/>
    </row>
    <row r="32" spans="1:17" ht="12.75">
      <c r="A32" s="119"/>
      <c r="B32" s="18">
        <v>50</v>
      </c>
      <c r="C32" s="19">
        <f>f_50/f*C22*60</f>
        <v>214.28571428571428</v>
      </c>
      <c r="D32" s="19">
        <f aca="true" t="shared" si="9" ref="D32:O32">f_50/f*D22*60</f>
        <v>249.99999999999997</v>
      </c>
      <c r="E32" s="19">
        <f t="shared" si="9"/>
        <v>285.7142857142857</v>
      </c>
      <c r="F32" s="19">
        <f t="shared" si="9"/>
        <v>321.4285714285714</v>
      </c>
      <c r="G32" s="19">
        <f t="shared" si="9"/>
        <v>357.1428571428571</v>
      </c>
      <c r="H32" s="19">
        <f t="shared" si="9"/>
        <v>392.85714285714283</v>
      </c>
      <c r="I32" s="19">
        <f t="shared" si="9"/>
        <v>428.57142857142856</v>
      </c>
      <c r="J32" s="19">
        <f t="shared" si="9"/>
        <v>464.2857142857142</v>
      </c>
      <c r="K32" s="19">
        <f t="shared" si="9"/>
        <v>499.99999999999994</v>
      </c>
      <c r="L32" s="19">
        <f t="shared" si="9"/>
        <v>535.7142857142858</v>
      </c>
      <c r="M32" s="19">
        <f t="shared" si="9"/>
        <v>571.4285714285714</v>
      </c>
      <c r="N32" s="19">
        <f t="shared" si="9"/>
        <v>607.1428571428571</v>
      </c>
      <c r="O32" s="20">
        <f t="shared" si="9"/>
        <v>642.8571428571428</v>
      </c>
      <c r="P32" s="21">
        <f t="shared" si="1"/>
        <v>8.4</v>
      </c>
      <c r="Q32" s="112"/>
    </row>
    <row r="33" spans="1:17" ht="12.75">
      <c r="A33" s="119"/>
      <c r="B33" s="18">
        <v>55</v>
      </c>
      <c r="C33" s="19">
        <f>f_55/f*C22*60</f>
        <v>235.71428571428572</v>
      </c>
      <c r="D33" s="19">
        <f aca="true" t="shared" si="10" ref="D33:O33">f_55/f*D22*60</f>
        <v>275.00000000000006</v>
      </c>
      <c r="E33" s="19">
        <f t="shared" si="10"/>
        <v>314.2857142857143</v>
      </c>
      <c r="F33" s="19">
        <f t="shared" si="10"/>
        <v>353.5714285714286</v>
      </c>
      <c r="G33" s="19">
        <f t="shared" si="10"/>
        <v>392.8571428571429</v>
      </c>
      <c r="H33" s="19">
        <f t="shared" si="10"/>
        <v>432.14285714285717</v>
      </c>
      <c r="I33" s="19">
        <f t="shared" si="10"/>
        <v>471.42857142857144</v>
      </c>
      <c r="J33" s="19">
        <f t="shared" si="10"/>
        <v>510.7142857142858</v>
      </c>
      <c r="K33" s="19">
        <f t="shared" si="10"/>
        <v>550.0000000000001</v>
      </c>
      <c r="L33" s="19">
        <f t="shared" si="10"/>
        <v>589.2857142857142</v>
      </c>
      <c r="M33" s="19">
        <f t="shared" si="10"/>
        <v>628.5714285714286</v>
      </c>
      <c r="N33" s="19">
        <f t="shared" si="10"/>
        <v>667.8571428571429</v>
      </c>
      <c r="O33" s="20">
        <f t="shared" si="10"/>
        <v>707.1428571428572</v>
      </c>
      <c r="P33" s="21">
        <f t="shared" si="1"/>
        <v>7.636363636363637</v>
      </c>
      <c r="Q33" s="112"/>
    </row>
    <row r="34" spans="2:16" ht="12.75">
      <c r="B34" s="1"/>
      <c r="C34" s="1"/>
      <c r="D34" s="1"/>
      <c r="E34" s="1"/>
      <c r="F34" s="1"/>
      <c r="G34" s="1"/>
      <c r="H34" s="1"/>
      <c r="I34" s="1"/>
      <c r="J34" s="1"/>
      <c r="K34" s="1"/>
      <c r="L34" s="1"/>
      <c r="M34" s="1"/>
      <c r="N34" s="1"/>
      <c r="O34" s="1"/>
      <c r="P34" s="24"/>
    </row>
    <row r="35" spans="2:15" ht="12.75">
      <c r="B35" s="1"/>
      <c r="C35" s="1"/>
      <c r="D35" s="25"/>
      <c r="E35" s="10" t="s">
        <v>22</v>
      </c>
      <c r="F35" s="26"/>
      <c r="G35" s="26"/>
      <c r="H35" s="1"/>
      <c r="I35" s="1"/>
      <c r="J35" s="1"/>
      <c r="K35" s="1"/>
      <c r="L35" s="27"/>
      <c r="M35" s="1"/>
      <c r="N35" s="1"/>
      <c r="O35" s="1"/>
    </row>
    <row r="36" spans="2:15" ht="12.75">
      <c r="B36" s="1"/>
      <c r="C36" s="1"/>
      <c r="D36" s="28"/>
      <c r="E36" s="10" t="s">
        <v>23</v>
      </c>
      <c r="F36" s="26"/>
      <c r="G36" s="26"/>
      <c r="H36" s="1"/>
      <c r="I36" s="1"/>
      <c r="J36" s="1"/>
      <c r="K36" s="1"/>
      <c r="L36" s="27"/>
      <c r="M36" s="1"/>
      <c r="N36" s="1"/>
      <c r="O36" s="1"/>
    </row>
    <row r="37" spans="2:15" ht="12.75">
      <c r="B37" s="1"/>
      <c r="C37" s="1"/>
      <c r="D37" s="29"/>
      <c r="E37" s="10" t="s">
        <v>24</v>
      </c>
      <c r="F37" s="26"/>
      <c r="G37" s="26"/>
      <c r="H37" s="1"/>
      <c r="I37" s="1"/>
      <c r="J37" s="1"/>
      <c r="K37" s="1"/>
      <c r="L37" s="27"/>
      <c r="M37" s="1"/>
      <c r="N37" s="1"/>
      <c r="O37" s="1"/>
    </row>
    <row r="38" spans="2:15" ht="12.75">
      <c r="B38" s="1"/>
      <c r="C38" s="1"/>
      <c r="D38" s="30"/>
      <c r="E38" s="10" t="s">
        <v>25</v>
      </c>
      <c r="F38" s="26"/>
      <c r="G38" s="26"/>
      <c r="H38" s="1"/>
      <c r="I38" s="1"/>
      <c r="J38" s="1"/>
      <c r="K38" s="1"/>
      <c r="L38" s="27"/>
      <c r="M38" s="1"/>
      <c r="N38" s="1"/>
      <c r="O38" s="1"/>
    </row>
    <row r="39" spans="2:15" ht="12.75">
      <c r="B39" s="1"/>
      <c r="C39" s="1"/>
      <c r="D39" s="16"/>
      <c r="E39" s="1"/>
      <c r="F39" s="1"/>
      <c r="G39" s="1"/>
      <c r="H39" s="1"/>
      <c r="I39" s="1"/>
      <c r="J39" s="1"/>
      <c r="K39" s="1"/>
      <c r="L39" s="27"/>
      <c r="M39" s="1"/>
      <c r="N39" s="1"/>
      <c r="O39" s="1"/>
    </row>
    <row r="40" spans="2:15" ht="12.75">
      <c r="B40" s="1"/>
      <c r="C40" s="1"/>
      <c r="D40" s="1"/>
      <c r="E40" s="1"/>
      <c r="F40" s="1"/>
      <c r="G40" s="1"/>
      <c r="H40" s="1"/>
      <c r="I40" s="1"/>
      <c r="J40" s="1"/>
      <c r="K40" s="1"/>
      <c r="L40" s="1"/>
      <c r="M40" s="1"/>
      <c r="N40" s="1"/>
      <c r="O40" s="1"/>
    </row>
    <row r="41" spans="2:15" ht="12.75">
      <c r="B41" s="1"/>
      <c r="C41" s="106" t="s">
        <v>26</v>
      </c>
      <c r="D41" s="106"/>
      <c r="E41" s="106"/>
      <c r="F41" s="106"/>
      <c r="G41" s="106"/>
      <c r="H41" s="106"/>
      <c r="I41" s="106"/>
      <c r="J41" s="106"/>
      <c r="K41" s="106"/>
      <c r="L41" s="106"/>
      <c r="M41" s="106"/>
      <c r="N41" s="106"/>
      <c r="O41" s="106"/>
    </row>
    <row r="42" spans="2:15" ht="12.75">
      <c r="B42" s="1"/>
      <c r="C42" s="1"/>
      <c r="D42" s="1"/>
      <c r="E42" s="1"/>
      <c r="F42" s="1"/>
      <c r="G42" s="1"/>
      <c r="H42" s="1"/>
      <c r="I42" s="1"/>
      <c r="J42" s="1"/>
      <c r="K42" s="1"/>
      <c r="L42" s="1"/>
      <c r="M42" s="1"/>
      <c r="N42" s="1"/>
      <c r="O42" s="1"/>
    </row>
    <row r="43" spans="1:14" ht="12.75">
      <c r="A43" s="107" t="s">
        <v>27</v>
      </c>
      <c r="B43" s="107"/>
      <c r="C43" s="107"/>
      <c r="D43" s="31">
        <v>36</v>
      </c>
      <c r="E43" s="31">
        <v>24</v>
      </c>
      <c r="F43" s="108" t="s">
        <v>28</v>
      </c>
      <c r="G43" s="108"/>
      <c r="H43" s="108"/>
      <c r="I43" s="109"/>
      <c r="J43" s="32"/>
      <c r="K43" s="33">
        <f aca="true" t="shared" si="11" ref="K43:L47">ATAN(D43/2/f)*57.2957*2</f>
        <v>4.908056537815201</v>
      </c>
      <c r="L43" s="33">
        <f t="shared" si="11"/>
        <v>3.2731495408644817</v>
      </c>
      <c r="M43" s="108" t="s">
        <v>28</v>
      </c>
      <c r="N43" s="109"/>
    </row>
    <row r="44" spans="1:14" ht="12.75">
      <c r="A44" s="107" t="s">
        <v>29</v>
      </c>
      <c r="B44" s="107"/>
      <c r="C44" s="107"/>
      <c r="D44" s="31">
        <v>60</v>
      </c>
      <c r="E44" s="31">
        <v>60</v>
      </c>
      <c r="F44" s="110"/>
      <c r="G44" s="110"/>
      <c r="H44" s="110"/>
      <c r="I44" s="111"/>
      <c r="J44" s="32"/>
      <c r="K44" s="33">
        <f t="shared" si="11"/>
        <v>8.171222220197116</v>
      </c>
      <c r="L44" s="33">
        <f t="shared" si="11"/>
        <v>8.171222220197116</v>
      </c>
      <c r="M44" s="110"/>
      <c r="N44" s="111"/>
    </row>
    <row r="45" spans="1:14" ht="12.75">
      <c r="A45" s="34" t="s">
        <v>30</v>
      </c>
      <c r="B45" s="34"/>
      <c r="C45" s="34"/>
      <c r="D45" s="31">
        <v>90</v>
      </c>
      <c r="E45" s="31">
        <v>60</v>
      </c>
      <c r="F45" s="110"/>
      <c r="G45" s="110"/>
      <c r="H45" s="110"/>
      <c r="I45" s="111"/>
      <c r="J45" s="32"/>
      <c r="K45" s="33">
        <f t="shared" si="11"/>
        <v>12.230990158806161</v>
      </c>
      <c r="L45" s="33">
        <f t="shared" si="11"/>
        <v>8.171222220197116</v>
      </c>
      <c r="M45" s="110"/>
      <c r="N45" s="111"/>
    </row>
    <row r="46" spans="1:14" ht="12.75">
      <c r="A46" s="117" t="s">
        <v>31</v>
      </c>
      <c r="B46" s="117"/>
      <c r="C46" s="117"/>
      <c r="D46" s="35">
        <v>7.84</v>
      </c>
      <c r="E46" s="35">
        <v>6.4</v>
      </c>
      <c r="F46" s="36">
        <v>510</v>
      </c>
      <c r="G46" s="36">
        <v>492</v>
      </c>
      <c r="H46" s="31">
        <f>D46/F46*1000</f>
        <v>15.372549019607842</v>
      </c>
      <c r="I46" s="31">
        <f>E46/G46*1000</f>
        <v>13.008130081300813</v>
      </c>
      <c r="J46" s="32"/>
      <c r="K46" s="33">
        <f t="shared" si="11"/>
        <v>1.0694886792723006</v>
      </c>
      <c r="L46" s="33">
        <f t="shared" si="11"/>
        <v>0.8730604399083223</v>
      </c>
      <c r="M46" s="37">
        <f>K46/F46*3600</f>
        <v>7.549331853686828</v>
      </c>
      <c r="N46" s="37">
        <f>L46/G46*3600</f>
        <v>6.388247121280407</v>
      </c>
    </row>
    <row r="47" spans="1:14" ht="12.75">
      <c r="A47" s="120" t="s">
        <v>32</v>
      </c>
      <c r="B47" s="120"/>
      <c r="C47" s="120"/>
      <c r="D47" s="38">
        <v>4.46</v>
      </c>
      <c r="E47" s="38">
        <v>3.8</v>
      </c>
      <c r="F47" s="39">
        <v>640</v>
      </c>
      <c r="G47" s="39">
        <v>480</v>
      </c>
      <c r="H47" s="31">
        <v>5.6</v>
      </c>
      <c r="I47" s="31">
        <v>5.6</v>
      </c>
      <c r="J47" s="32"/>
      <c r="K47" s="33">
        <f t="shared" si="11"/>
        <v>0.6084200493777049</v>
      </c>
      <c r="L47" s="33">
        <f t="shared" si="11"/>
        <v>0.5183861304540468</v>
      </c>
      <c r="M47" s="37">
        <f>K47/F47*3600</f>
        <v>3.42236277774959</v>
      </c>
      <c r="N47" s="37">
        <f>L47/G47*3600</f>
        <v>3.8878959784053513</v>
      </c>
    </row>
    <row r="48" spans="1:15" ht="32.25">
      <c r="A48" s="40"/>
      <c r="B48" s="1"/>
      <c r="C48" s="1"/>
      <c r="D48" s="41" t="s">
        <v>33</v>
      </c>
      <c r="E48" s="41" t="s">
        <v>34</v>
      </c>
      <c r="F48" s="42" t="s">
        <v>35</v>
      </c>
      <c r="G48" s="42" t="s">
        <v>36</v>
      </c>
      <c r="H48" s="42" t="s">
        <v>37</v>
      </c>
      <c r="I48" s="42" t="s">
        <v>38</v>
      </c>
      <c r="J48" s="41"/>
      <c r="K48" s="41" t="s">
        <v>39</v>
      </c>
      <c r="L48" s="41" t="s">
        <v>40</v>
      </c>
      <c r="M48" s="41" t="s">
        <v>41</v>
      </c>
      <c r="N48" s="41" t="s">
        <v>42</v>
      </c>
      <c r="O48" s="1"/>
    </row>
    <row r="49" spans="2:15" ht="12.75">
      <c r="B49" s="1"/>
      <c r="C49" s="1"/>
      <c r="D49" s="1"/>
      <c r="E49" s="1"/>
      <c r="F49" s="1"/>
      <c r="G49" s="1"/>
      <c r="H49" s="1"/>
      <c r="I49" s="1"/>
      <c r="J49" s="1"/>
      <c r="K49" s="1"/>
      <c r="L49" s="1"/>
      <c r="M49" s="1"/>
      <c r="N49" s="1"/>
      <c r="O49" s="1"/>
    </row>
    <row r="50" spans="2:15" ht="12.75">
      <c r="B50" s="1"/>
      <c r="C50" s="1"/>
      <c r="D50" s="43"/>
      <c r="E50" s="10" t="s">
        <v>43</v>
      </c>
      <c r="F50" s="1"/>
      <c r="G50" s="1"/>
      <c r="H50" s="1"/>
      <c r="I50" s="1"/>
      <c r="J50" s="1"/>
      <c r="K50" s="1"/>
      <c r="L50" s="1"/>
      <c r="M50" s="1"/>
      <c r="N50" s="1"/>
      <c r="O50" s="1"/>
    </row>
    <row r="51" spans="2:15" ht="12.75">
      <c r="B51" s="1"/>
      <c r="C51" s="1"/>
      <c r="D51" s="16"/>
      <c r="E51" s="10"/>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06" t="s">
        <v>44</v>
      </c>
      <c r="D53" s="106"/>
      <c r="E53" s="106"/>
      <c r="F53" s="106"/>
      <c r="G53" s="106"/>
      <c r="H53" s="106"/>
      <c r="I53" s="106"/>
      <c r="J53" s="106"/>
      <c r="K53" s="106"/>
      <c r="L53" s="106"/>
      <c r="M53" s="106"/>
      <c r="N53" s="106"/>
      <c r="O53" s="106"/>
    </row>
    <row r="54" spans="2:15" ht="12.75">
      <c r="B54" s="1"/>
      <c r="C54" s="44"/>
      <c r="D54" s="44"/>
      <c r="E54" s="44"/>
      <c r="F54" s="44"/>
      <c r="G54" s="44"/>
      <c r="H54" s="44"/>
      <c r="I54" s="44"/>
      <c r="J54" s="44"/>
      <c r="K54" s="44"/>
      <c r="L54" s="44"/>
      <c r="M54" s="44"/>
      <c r="N54" s="44"/>
      <c r="O54" s="44"/>
    </row>
    <row r="55" spans="2:15" ht="12.75">
      <c r="B55" s="1"/>
      <c r="C55" s="44"/>
      <c r="D55" s="44"/>
      <c r="E55" s="44"/>
      <c r="F55" s="44"/>
      <c r="G55" s="121" t="s">
        <v>45</v>
      </c>
      <c r="H55" s="122"/>
      <c r="I55" s="45">
        <f>((f/uzywanyokular)*obaparatu)/d</f>
        <v>11.538461538461538</v>
      </c>
      <c r="K55" s="44"/>
      <c r="L55" s="44"/>
      <c r="M55" s="44"/>
      <c r="N55" s="44"/>
      <c r="O55" s="44"/>
    </row>
    <row r="56" spans="2:15" ht="12.75">
      <c r="B56" s="1"/>
      <c r="C56" s="1"/>
      <c r="D56" s="1"/>
      <c r="E56" s="1"/>
      <c r="F56" s="16"/>
      <c r="G56" s="121" t="s">
        <v>46</v>
      </c>
      <c r="H56" s="122"/>
      <c r="I56" s="46">
        <f>(f/uzywanyokular)*obaparatu</f>
        <v>807.6923076923076</v>
      </c>
      <c r="K56" s="1"/>
      <c r="L56" s="1"/>
      <c r="M56" s="1"/>
      <c r="N56" s="1"/>
      <c r="O56" s="1"/>
    </row>
    <row r="57" spans="1:15" ht="12.75">
      <c r="A57" s="123" t="s">
        <v>47</v>
      </c>
      <c r="B57" s="123"/>
      <c r="C57" s="124"/>
      <c r="D57" s="47">
        <v>1800</v>
      </c>
      <c r="E57" s="48">
        <f>(f*D57)/206265</f>
        <v>3.665187986328267</v>
      </c>
      <c r="F57" s="49">
        <f>((f/d)*(f/d))/(czuloscfilmu*80)</f>
        <v>0.000375</v>
      </c>
      <c r="G57" s="50">
        <f>(((f/uzywanyokular)*obaparatu)*D57)/206265</f>
        <v>7.048438435246667</v>
      </c>
      <c r="H57" s="51">
        <f>G57*(180/36)</f>
        <v>35.24219217623334</v>
      </c>
      <c r="I57" s="52">
        <f>((((f/uzywanyokular)*obaparatu)/d)*(((f/uzywanyokular)*obaparatu)/d))/(czuloscfilmu*80)</f>
        <v>0.0013868343195266271</v>
      </c>
      <c r="J57" s="1"/>
      <c r="K57" s="1"/>
      <c r="L57" s="1"/>
      <c r="M57" s="1"/>
      <c r="N57" s="1"/>
      <c r="O57" s="1"/>
    </row>
    <row r="58" spans="1:15" ht="12.75">
      <c r="A58" s="123" t="s">
        <v>48</v>
      </c>
      <c r="B58" s="123"/>
      <c r="C58" s="124"/>
      <c r="D58" s="47">
        <v>11</v>
      </c>
      <c r="E58" s="48">
        <f aca="true" t="shared" si="12" ref="E58:E69">(f*D58)/206265</f>
        <v>0.02239837102756163</v>
      </c>
      <c r="F58" s="49">
        <f>((f/d)*(f/d))/(czuloscfilmu*60)</f>
        <v>0.0005</v>
      </c>
      <c r="G58" s="53">
        <f>(((f/uzywanyokular)*obaparatu)*D58)/206265</f>
        <v>0.04307379043761851</v>
      </c>
      <c r="H58" s="54">
        <f aca="true" t="shared" si="13" ref="H58:H71">G58*(180/36)</f>
        <v>0.21536895218809254</v>
      </c>
      <c r="I58" s="49">
        <f>((((f/uzywanyokular)*obaparatu)/d)*(((f/uzywanyokular)*obaparatu)/d))/(czuloscfilmu*60)</f>
        <v>0.0018491124260355029</v>
      </c>
      <c r="J58" s="1"/>
      <c r="K58" s="1"/>
      <c r="L58" s="1"/>
      <c r="M58" s="1"/>
      <c r="N58" s="1"/>
      <c r="O58" s="1"/>
    </row>
    <row r="59" spans="1:15" ht="12.75">
      <c r="A59" s="123" t="s">
        <v>49</v>
      </c>
      <c r="B59" s="123"/>
      <c r="C59" s="124"/>
      <c r="D59" s="47">
        <v>60.2</v>
      </c>
      <c r="E59" s="48">
        <f t="shared" si="12"/>
        <v>0.12258017598720093</v>
      </c>
      <c r="F59" s="49">
        <f>((f/d)*(f/d))/(czuloscfilmu*400)</f>
        <v>7.5E-05</v>
      </c>
      <c r="G59" s="53">
        <f>(((f/uzywanyokular)*obaparatu)*D59)/206265</f>
        <v>0.2357311076676941</v>
      </c>
      <c r="H59" s="54">
        <f t="shared" si="13"/>
        <v>1.1786555383384705</v>
      </c>
      <c r="I59" s="49">
        <f>((((f/uzywanyokular)*obaparatu)/d)*(((f/uzywanyokular)*obaparatu)/d))/(czuloscfilmu*400)</f>
        <v>0.00027736686390532545</v>
      </c>
      <c r="J59" s="1"/>
      <c r="K59" s="55" t="s">
        <v>50</v>
      </c>
      <c r="L59" s="1"/>
      <c r="M59" s="1"/>
      <c r="N59" s="1"/>
      <c r="O59" s="1"/>
    </row>
    <row r="60" spans="1:15" ht="12.75">
      <c r="A60" s="56" t="s">
        <v>51</v>
      </c>
      <c r="B60" s="56"/>
      <c r="C60" s="57"/>
      <c r="D60" s="113">
        <v>1800</v>
      </c>
      <c r="E60" s="114">
        <f t="shared" si="12"/>
        <v>3.665187986328267</v>
      </c>
      <c r="F60" s="49">
        <f>((f/d)*(f/d))/(czuloscfilmu*200)</f>
        <v>0.00015</v>
      </c>
      <c r="G60" s="115">
        <f>(((f/uzywanyokular)*obaparatu)*D60)/206265</f>
        <v>7.048438435246667</v>
      </c>
      <c r="H60" s="116">
        <f t="shared" si="13"/>
        <v>35.24219217623334</v>
      </c>
      <c r="I60" s="49">
        <f>((((f/uzywanyokular)*obaparatu)/d)*(((f/uzywanyokular)*obaparatu)/d))/(czuloscfilmu*200)</f>
        <v>0.0005547337278106509</v>
      </c>
      <c r="J60" s="1"/>
      <c r="K60" s="58"/>
      <c r="L60" s="105" t="s">
        <v>52</v>
      </c>
      <c r="M60" s="105"/>
      <c r="N60" s="105"/>
      <c r="O60" s="105"/>
    </row>
    <row r="61" spans="1:15" ht="12.75">
      <c r="A61" s="56" t="s">
        <v>53</v>
      </c>
      <c r="B61" s="56"/>
      <c r="C61" s="57"/>
      <c r="D61" s="113"/>
      <c r="E61" s="114"/>
      <c r="F61" s="49">
        <f>((f/d)*(f/d))/(czuloscfilmu*80)</f>
        <v>0.000375</v>
      </c>
      <c r="G61" s="115"/>
      <c r="H61" s="116"/>
      <c r="I61" s="49">
        <f>((((f/uzywanyokular)*obaparatu)/d)*(((f/uzywanyokular)*obaparatu)/d))/(czuloscfilmu*80)</f>
        <v>0.0013868343195266271</v>
      </c>
      <c r="J61" s="1"/>
      <c r="K61" s="59"/>
      <c r="L61" s="105" t="s">
        <v>54</v>
      </c>
      <c r="M61" s="105"/>
      <c r="N61" s="105"/>
      <c r="O61" s="105"/>
    </row>
    <row r="62" spans="1:16" ht="12.75">
      <c r="A62" s="56" t="s">
        <v>55</v>
      </c>
      <c r="B62" s="56"/>
      <c r="C62" s="57"/>
      <c r="D62" s="113"/>
      <c r="E62" s="114"/>
      <c r="F62" s="49">
        <f>((f/d)*(f/d))/(czuloscfilmu*40)</f>
        <v>0.00075</v>
      </c>
      <c r="G62" s="115"/>
      <c r="H62" s="116"/>
      <c r="I62" s="49">
        <f>((((f/uzywanyokular)*obaparatu)/d)*(((f/uzywanyokular)*obaparatu)/d))/(czuloscfilmu*40)</f>
        <v>0.0027736686390532543</v>
      </c>
      <c r="J62" s="1"/>
      <c r="K62" s="60"/>
      <c r="L62" s="105" t="s">
        <v>56</v>
      </c>
      <c r="M62" s="105"/>
      <c r="N62" s="105"/>
      <c r="O62" s="105"/>
      <c r="P62" s="105"/>
    </row>
    <row r="63" spans="1:15" ht="12.75">
      <c r="A63" s="56" t="s">
        <v>57</v>
      </c>
      <c r="B63" s="56"/>
      <c r="C63" s="57"/>
      <c r="D63" s="113"/>
      <c r="E63" s="114"/>
      <c r="F63" s="49">
        <f>((f/d)*(f/d))/(czuloscfilmu*20)</f>
        <v>0.0015</v>
      </c>
      <c r="G63" s="115"/>
      <c r="H63" s="116"/>
      <c r="I63" s="49">
        <f>((((f/uzywanyokular)*obaparatu)/d)*(((f/uzywanyokular)*obaparatu)/d))/(czuloscfilmu*20)</f>
        <v>0.005547337278106509</v>
      </c>
      <c r="J63" s="1"/>
      <c r="K63" s="1"/>
      <c r="L63" s="1"/>
      <c r="M63" s="1"/>
      <c r="N63" s="1"/>
      <c r="O63" s="1"/>
    </row>
    <row r="64" spans="1:15" ht="12.75">
      <c r="A64" s="123" t="s">
        <v>58</v>
      </c>
      <c r="B64" s="123"/>
      <c r="C64" s="124"/>
      <c r="D64" s="47">
        <v>17.9</v>
      </c>
      <c r="E64" s="48">
        <f t="shared" si="12"/>
        <v>0.03644825830848665</v>
      </c>
      <c r="F64" s="49">
        <f>((f/d)*(f/d))/(czuloscfilmu*60)</f>
        <v>0.0005</v>
      </c>
      <c r="G64" s="53">
        <f aca="true" t="shared" si="14" ref="G64:G69">(((f/uzywanyokular)*obaparatu)*D64)/206265</f>
        <v>0.0700928044393974</v>
      </c>
      <c r="H64" s="54">
        <f t="shared" si="13"/>
        <v>0.350464022196987</v>
      </c>
      <c r="I64" s="49">
        <f>((((f/uzywanyokular)*obaparatu)/d)*(((f/uzywanyokular)*obaparatu)/d))/(czuloscfilmu*60)</f>
        <v>0.0018491124260355029</v>
      </c>
      <c r="J64" s="1"/>
      <c r="K64" s="1"/>
      <c r="L64" s="1"/>
      <c r="M64" s="1"/>
      <c r="N64" s="1"/>
      <c r="O64" s="1"/>
    </row>
    <row r="65" spans="1:15" ht="12.75">
      <c r="A65" s="136" t="s">
        <v>59</v>
      </c>
      <c r="B65" s="136"/>
      <c r="C65" s="137"/>
      <c r="D65" s="61">
        <v>46</v>
      </c>
      <c r="E65" s="62">
        <f t="shared" si="12"/>
        <v>0.09366591520616682</v>
      </c>
      <c r="F65" s="63">
        <f>((f/d)*(f/d))/(czuloscfilmu*30)</f>
        <v>0.001</v>
      </c>
      <c r="G65" s="64">
        <f t="shared" si="14"/>
        <v>0.18012676001185926</v>
      </c>
      <c r="H65" s="65">
        <f t="shared" si="13"/>
        <v>0.9006338000592963</v>
      </c>
      <c r="I65" s="63">
        <f>((((f/uzywanyokular)*obaparatu)/d)*(((f/uzywanyokular)*obaparatu)/d))/(czuloscfilmu*30)</f>
        <v>0.0036982248520710057</v>
      </c>
      <c r="J65" s="1"/>
      <c r="K65" s="1"/>
      <c r="L65" s="1"/>
      <c r="M65" s="1"/>
      <c r="N65" s="1"/>
      <c r="O65" s="1"/>
    </row>
    <row r="66" spans="1:15" ht="12.75">
      <c r="A66" s="123" t="s">
        <v>60</v>
      </c>
      <c r="B66" s="123"/>
      <c r="C66" s="124"/>
      <c r="D66" s="47">
        <v>19</v>
      </c>
      <c r="E66" s="48">
        <f t="shared" si="12"/>
        <v>0.038688095411242816</v>
      </c>
      <c r="F66" s="125">
        <f>((f/d)*(f/d))/(czuloscfilmu*10)</f>
        <v>0.003</v>
      </c>
      <c r="G66" s="53">
        <f t="shared" si="14"/>
        <v>0.07440018348315926</v>
      </c>
      <c r="H66" s="54">
        <f t="shared" si="13"/>
        <v>0.3720009174157963</v>
      </c>
      <c r="I66" s="125">
        <f>((((f/uzywanyokular)*obaparatu)/d)*(((f/uzywanyokular)*obaparatu)/d))/(czuloscfilmu*10)</f>
        <v>0.011094674556213017</v>
      </c>
      <c r="J66" s="1"/>
      <c r="K66" s="1"/>
      <c r="L66" s="1"/>
      <c r="M66" s="1"/>
      <c r="N66" s="1"/>
      <c r="O66" s="1"/>
    </row>
    <row r="67" spans="1:15" ht="12.75">
      <c r="A67" s="56" t="s">
        <v>61</v>
      </c>
      <c r="B67" s="56"/>
      <c r="C67" s="57"/>
      <c r="D67" s="47">
        <v>42</v>
      </c>
      <c r="E67" s="48">
        <f t="shared" si="12"/>
        <v>0.08552105301432623</v>
      </c>
      <c r="F67" s="126"/>
      <c r="G67" s="53">
        <f t="shared" si="14"/>
        <v>0.1644635634890889</v>
      </c>
      <c r="H67" s="54">
        <f t="shared" si="13"/>
        <v>0.8223178174454444</v>
      </c>
      <c r="I67" s="126"/>
      <c r="J67" s="1"/>
      <c r="K67" s="1"/>
      <c r="L67" s="1"/>
      <c r="M67" s="1"/>
      <c r="N67" s="1"/>
      <c r="O67" s="1"/>
    </row>
    <row r="68" spans="1:15" ht="12.75">
      <c r="A68" s="123" t="s">
        <v>62</v>
      </c>
      <c r="B68" s="123"/>
      <c r="C68" s="124"/>
      <c r="D68" s="47">
        <v>4</v>
      </c>
      <c r="E68" s="48">
        <f t="shared" si="12"/>
        <v>0.008144862191840593</v>
      </c>
      <c r="F68" s="127" t="s">
        <v>63</v>
      </c>
      <c r="G68" s="53">
        <f t="shared" si="14"/>
        <v>0.01566319652277037</v>
      </c>
      <c r="H68" s="54">
        <f t="shared" si="13"/>
        <v>0.07831598261385185</v>
      </c>
      <c r="I68" s="130" t="s">
        <v>63</v>
      </c>
      <c r="J68" s="1"/>
      <c r="K68" s="1"/>
      <c r="L68" s="1"/>
      <c r="M68" s="66"/>
      <c r="N68" s="1"/>
      <c r="O68" s="1"/>
    </row>
    <row r="69" spans="1:15" ht="12.75">
      <c r="A69" s="123" t="s">
        <v>64</v>
      </c>
      <c r="B69" s="123"/>
      <c r="C69" s="124"/>
      <c r="D69" s="47">
        <v>2.1</v>
      </c>
      <c r="E69" s="48">
        <f t="shared" si="12"/>
        <v>0.004276052650716311</v>
      </c>
      <c r="F69" s="128"/>
      <c r="G69" s="53">
        <f t="shared" si="14"/>
        <v>0.008223178174454445</v>
      </c>
      <c r="H69" s="54">
        <f t="shared" si="13"/>
        <v>0.04111589087227223</v>
      </c>
      <c r="I69" s="130"/>
      <c r="J69" s="1"/>
      <c r="K69" s="1"/>
      <c r="L69" s="1"/>
      <c r="M69" s="1"/>
      <c r="N69" s="1"/>
      <c r="O69" s="1"/>
    </row>
    <row r="70" spans="1:15" ht="12.75">
      <c r="A70" s="123" t="s">
        <v>65</v>
      </c>
      <c r="B70" s="123"/>
      <c r="C70" s="124"/>
      <c r="D70" s="47">
        <v>0.1</v>
      </c>
      <c r="E70" s="48">
        <f>(f*D70)/206265</f>
        <v>0.00020362155479601484</v>
      </c>
      <c r="F70" s="129"/>
      <c r="G70" s="53">
        <f>(((f/uzywanyokular)*obaparatu)*D70)/206265</f>
        <v>0.00039157991306925933</v>
      </c>
      <c r="H70" s="54">
        <f t="shared" si="13"/>
        <v>0.0019578995653462966</v>
      </c>
      <c r="I70" s="130"/>
      <c r="J70" s="1"/>
      <c r="K70" s="1"/>
      <c r="L70" s="1"/>
      <c r="M70" s="1"/>
      <c r="N70" s="1"/>
      <c r="O70" s="1"/>
    </row>
    <row r="71" spans="1:15" ht="12.75">
      <c r="A71" s="123" t="s">
        <v>66</v>
      </c>
      <c r="B71" s="123"/>
      <c r="C71" s="124"/>
      <c r="D71" s="47">
        <v>36</v>
      </c>
      <c r="E71" s="48">
        <f>(f*D71)/206265</f>
        <v>0.07330375972656535</v>
      </c>
      <c r="F71" s="49">
        <f>((f/d)*(f/d))/(czuloscfilmu*400)</f>
        <v>7.5E-05</v>
      </c>
      <c r="G71" s="53">
        <f>(((f/uzywanyokular)*obaparatu)*D71)/206265</f>
        <v>0.14096876870493333</v>
      </c>
      <c r="H71" s="54">
        <f t="shared" si="13"/>
        <v>0.7048438435246667</v>
      </c>
      <c r="I71" s="49">
        <f>((((f/uzywanyokular)*obaparatu)/d)*(((f/uzywanyokular)*obaparatu)/d))/(czuloscfilmu*400)</f>
        <v>0.00027736686390532545</v>
      </c>
      <c r="J71" s="1"/>
      <c r="K71" s="1"/>
      <c r="L71" s="1"/>
      <c r="M71" s="131"/>
      <c r="N71" s="131"/>
      <c r="O71" s="1"/>
    </row>
    <row r="72" spans="2:15" ht="127.5">
      <c r="B72" s="1"/>
      <c r="C72" s="1"/>
      <c r="D72" s="67" t="s">
        <v>67</v>
      </c>
      <c r="E72" s="67" t="s">
        <v>68</v>
      </c>
      <c r="F72" s="68" t="s">
        <v>69</v>
      </c>
      <c r="G72" s="132" t="s">
        <v>70</v>
      </c>
      <c r="H72" s="69" t="s">
        <v>71</v>
      </c>
      <c r="I72" s="69" t="s">
        <v>72</v>
      </c>
      <c r="J72" s="1"/>
      <c r="K72" s="1"/>
      <c r="L72" s="1"/>
      <c r="M72" s="1"/>
      <c r="N72" s="1"/>
      <c r="O72" s="1"/>
    </row>
    <row r="73" spans="2:15" ht="12.75">
      <c r="B73" s="1"/>
      <c r="C73" s="1"/>
      <c r="D73" s="134" t="s">
        <v>73</v>
      </c>
      <c r="E73" s="134"/>
      <c r="F73" s="70">
        <v>1200</v>
      </c>
      <c r="G73" s="133"/>
      <c r="H73" s="1"/>
      <c r="I73" s="1"/>
      <c r="J73" s="1"/>
      <c r="K73" s="1"/>
      <c r="L73" s="1"/>
      <c r="M73" s="1"/>
      <c r="N73" s="1"/>
      <c r="O73" s="1"/>
    </row>
    <row r="74" spans="2:15" ht="12.75">
      <c r="B74" s="1"/>
      <c r="C74" s="1"/>
      <c r="D74" s="135"/>
      <c r="E74" s="135"/>
      <c r="F74" s="71" t="s">
        <v>74</v>
      </c>
      <c r="G74" s="72">
        <v>50</v>
      </c>
      <c r="H74" s="1"/>
      <c r="I74" s="1"/>
      <c r="J74" s="1"/>
      <c r="K74" s="1"/>
      <c r="L74" s="1"/>
      <c r="M74" s="1"/>
      <c r="N74" s="1"/>
      <c r="O74" s="1"/>
    </row>
    <row r="75" spans="2:15" ht="12.75">
      <c r="B75" s="1"/>
      <c r="C75" s="1"/>
      <c r="D75" s="1"/>
      <c r="E75" s="1"/>
      <c r="F75" s="71" t="s">
        <v>75</v>
      </c>
      <c r="G75" s="72">
        <v>26</v>
      </c>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00"/>
      <c r="E77" s="100"/>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sheetData>
  <sheetProtection/>
  <mergeCells count="54">
    <mergeCell ref="M71:N71"/>
    <mergeCell ref="G72:G73"/>
    <mergeCell ref="D73:E73"/>
    <mergeCell ref="D74:E74"/>
    <mergeCell ref="D77:E77"/>
    <mergeCell ref="A64:C64"/>
    <mergeCell ref="A65:C65"/>
    <mergeCell ref="A66:C66"/>
    <mergeCell ref="F66:F67"/>
    <mergeCell ref="A71:C71"/>
    <mergeCell ref="I66:I67"/>
    <mergeCell ref="A68:C68"/>
    <mergeCell ref="F68:F70"/>
    <mergeCell ref="I68:I70"/>
    <mergeCell ref="A69:C69"/>
    <mergeCell ref="A70:C70"/>
    <mergeCell ref="L60:O60"/>
    <mergeCell ref="L61:O61"/>
    <mergeCell ref="L62:P62"/>
    <mergeCell ref="A47:C47"/>
    <mergeCell ref="C53:O53"/>
    <mergeCell ref="G55:H55"/>
    <mergeCell ref="G56:H56"/>
    <mergeCell ref="A57:C57"/>
    <mergeCell ref="A58:C58"/>
    <mergeCell ref="A59:C59"/>
    <mergeCell ref="D60:D63"/>
    <mergeCell ref="E60:E63"/>
    <mergeCell ref="G60:G63"/>
    <mergeCell ref="H60:H63"/>
    <mergeCell ref="A46:C46"/>
    <mergeCell ref="B15:E15"/>
    <mergeCell ref="B16:E16"/>
    <mergeCell ref="C19:O19"/>
    <mergeCell ref="C21:O21"/>
    <mergeCell ref="A23:A33"/>
    <mergeCell ref="C41:O41"/>
    <mergeCell ref="A43:C43"/>
    <mergeCell ref="F43:I45"/>
    <mergeCell ref="M43:N45"/>
    <mergeCell ref="A44:C44"/>
    <mergeCell ref="Q23:Q33"/>
    <mergeCell ref="B11:E11"/>
    <mergeCell ref="B12:E13"/>
    <mergeCell ref="G12:H12"/>
    <mergeCell ref="G13:H13"/>
    <mergeCell ref="B14:E14"/>
    <mergeCell ref="G14:H14"/>
    <mergeCell ref="B10:E10"/>
    <mergeCell ref="B3:P3"/>
    <mergeCell ref="B4:P4"/>
    <mergeCell ref="B5:P5"/>
    <mergeCell ref="B8:E8"/>
    <mergeCell ref="B9:E9"/>
  </mergeCells>
  <conditionalFormatting sqref="E57:E71 G57:G71">
    <cfRule type="cellIs" priority="1" dxfId="9" operator="greaterThan" stopIfTrue="1">
      <formula>24</formula>
    </cfRule>
  </conditionalFormatting>
  <conditionalFormatting sqref="F57:F67 F71">
    <cfRule type="cellIs" priority="2" dxfId="2" operator="greaterThan" stopIfTrue="1">
      <formula>0.04444444</formula>
    </cfRule>
    <cfRule type="cellIs" priority="3" dxfId="5" operator="lessThan" stopIfTrue="1">
      <formula>0.00133333</formula>
    </cfRule>
  </conditionalFormatting>
  <conditionalFormatting sqref="I57:I67 I71">
    <cfRule type="cellIs" priority="4" dxfId="2" operator="greaterThan" stopIfTrue="1">
      <formula>0.04444444</formula>
    </cfRule>
    <cfRule type="cellIs" priority="5" dxfId="5" operator="lessThan" stopIfTrue="1">
      <formula>0.001333333</formula>
    </cfRule>
  </conditionalFormatting>
  <conditionalFormatting sqref="C23:O33">
    <cfRule type="cellIs" priority="6" dxfId="4" operator="greaterThanOrEqual" stopIfTrue="1">
      <formula>60</formula>
    </cfRule>
    <cfRule type="cellIs" priority="7" dxfId="1" operator="lessThanOrEqual" stopIfTrue="1">
      <formula>10</formula>
    </cfRule>
    <cfRule type="cellIs" priority="8" dxfId="2" operator="between" stopIfTrue="1">
      <formula>10</formula>
      <formula>60</formula>
    </cfRule>
  </conditionalFormatting>
  <conditionalFormatting sqref="M46:N47">
    <cfRule type="cellIs" priority="9" dxfId="1" operator="lessThan" stopIfTrue="1">
      <formula>0.5</formula>
    </cfRule>
  </conditionalFormatting>
  <conditionalFormatting sqref="P23:P33">
    <cfRule type="cellIs" priority="10" dxfId="0" operator="notBetween" stopIfTrue="1">
      <formula>$F$16</formula>
      <formula>$F$15</formula>
    </cfRule>
  </conditionalFormatting>
  <hyperlinks>
    <hyperlink ref="B5" r:id="rId1" display="www.cosmo.prv.pl"/>
    <hyperlink ref="B5:P5" r:id="rId2" display="http://www.cosmo.prv.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sheetData>
    <row r="1" ht="12.75">
      <c r="A1">
        <v>3500</v>
      </c>
    </row>
    <row r="2" ht="12.75">
      <c r="A2">
        <v>630</v>
      </c>
    </row>
    <row r="3" ht="12.75">
      <c r="A3">
        <v>530</v>
      </c>
    </row>
    <row r="4" ht="12.75">
      <c r="A4">
        <v>800</v>
      </c>
    </row>
    <row r="5" ht="12.75">
      <c r="A5">
        <v>840</v>
      </c>
    </row>
    <row r="6" ht="12.75">
      <c r="A6">
        <v>620</v>
      </c>
    </row>
    <row r="7" ht="12.75">
      <c r="A7">
        <v>480</v>
      </c>
    </row>
    <row r="8" ht="12.75">
      <c r="A8">
        <f>SUM(A1:A7)</f>
        <v>7400</v>
      </c>
    </row>
    <row r="9" ht="12.75">
      <c r="A9">
        <f>A8*4.2</f>
        <v>31080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uniwersal</dc:creator>
  <cp:keywords/>
  <dc:description/>
  <cp:lastModifiedBy>Maria Piechaczek</cp:lastModifiedBy>
  <cp:lastPrinted>2015-07-02T10:35:01Z</cp:lastPrinted>
  <dcterms:created xsi:type="dcterms:W3CDTF">2013-06-25T08:05:42Z</dcterms:created>
  <dcterms:modified xsi:type="dcterms:W3CDTF">2015-07-02T10:41:29Z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