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20" yWindow="2925" windowWidth="20280" windowHeight="11520" activeTab="0"/>
  </bookViews>
  <sheets>
    <sheet name="załącznik " sheetId="1" r:id="rId1"/>
    <sheet name="Arkusz1 (2)" sheetId="2" state="hidden" r:id="rId2"/>
    <sheet name="Arkusz3" sheetId="3" state="hidden" r:id="rId3"/>
    <sheet name="Arkusz1" sheetId="4" r:id="rId4"/>
  </sheets>
  <definedNames>
    <definedName name="czuloscfilmu" localSheetId="1">'Arkusz1 (2)'!$F$73</definedName>
    <definedName name="czuloscfilmu">#REF!</definedName>
    <definedName name="d" localSheetId="1">'Arkusz1 (2)'!$F$8</definedName>
    <definedName name="d">#REF!</definedName>
    <definedName name="f" localSheetId="1">'Arkusz1 (2)'!$F$9</definedName>
    <definedName name="f">#REF!</definedName>
    <definedName name="f_10" localSheetId="1">'Arkusz1 (2)'!$B$24</definedName>
    <definedName name="f_10">#REF!</definedName>
    <definedName name="f_15" localSheetId="1">'Arkusz1 (2)'!$B$25</definedName>
    <definedName name="f_15">#REF!</definedName>
    <definedName name="f_20" localSheetId="1">'Arkusz1 (2)'!$B$26</definedName>
    <definedName name="f_20">#REF!</definedName>
    <definedName name="f_25" localSheetId="1">'Arkusz1 (2)'!$B$27</definedName>
    <definedName name="f_25">#REF!</definedName>
    <definedName name="f_30" localSheetId="1">'Arkusz1 (2)'!$B$28</definedName>
    <definedName name="f_30">#REF!</definedName>
    <definedName name="f_35" localSheetId="1">'Arkusz1 (2)'!$B$29</definedName>
    <definedName name="f_35">#REF!</definedName>
    <definedName name="f_40" localSheetId="1">'Arkusz1 (2)'!$B$30</definedName>
    <definedName name="f_40">#REF!</definedName>
    <definedName name="f_45" localSheetId="1">'Arkusz1 (2)'!$B$31</definedName>
    <definedName name="f_45">#REF!</definedName>
    <definedName name="f_50" localSheetId="1">'Arkusz1 (2)'!$B$32</definedName>
    <definedName name="f_50">#REF!</definedName>
    <definedName name="f_55" localSheetId="1">'Arkusz1 (2)'!$B$33</definedName>
    <definedName name="f_55">#REF!</definedName>
    <definedName name="obaparatu" localSheetId="1">'Arkusz1 (2)'!$G$74</definedName>
    <definedName name="obaparatu">#REF!</definedName>
    <definedName name="uzywanyokular" localSheetId="1">'Arkusz1 (2)'!$G$75</definedName>
    <definedName name="uzywanyokular">#REF!</definedName>
  </definedNames>
  <calcPr fullCalcOnLoad="1"/>
</workbook>
</file>

<file path=xl/sharedStrings.xml><?xml version="1.0" encoding="utf-8"?>
<sst xmlns="http://schemas.openxmlformats.org/spreadsheetml/2006/main" count="92" uniqueCount="89">
  <si>
    <t>Liczba sztuk do zamówienia</t>
  </si>
  <si>
    <t>Nr kolejny</t>
  </si>
  <si>
    <t>Teleskop - podstawowe parametry, ver. 1</t>
  </si>
  <si>
    <t>2001 Grzegorz Koralewski, PTMA Szczecin</t>
  </si>
  <si>
    <t>http://www.cosmo.prv.pl/</t>
  </si>
  <si>
    <t>Średnica teleskopu</t>
  </si>
  <si>
    <t>Ogniskowa teleskopu</t>
  </si>
  <si>
    <t>Światłosiła teleskopu</t>
  </si>
  <si>
    <t>Rozdzielczość (teo.) wizualna</t>
  </si>
  <si>
    <t>Zasięg gwiazdowy</t>
  </si>
  <si>
    <t>(na przedmieściach)</t>
  </si>
  <si>
    <t>(na wsi)</t>
  </si>
  <si>
    <t>Wzmocnienie światła</t>
  </si>
  <si>
    <t>względem oka o źrenicy</t>
  </si>
  <si>
    <t>Maks. powiększenie</t>
  </si>
  <si>
    <t>z okularem</t>
  </si>
  <si>
    <t>Min. powiększenie</t>
  </si>
  <si>
    <t>przy źrenicy</t>
  </si>
  <si>
    <t>Wizualne pola widzenia i powiększenia z różnymi okularami</t>
  </si>
  <si>
    <t>Pole widzenia okularu</t>
  </si>
  <si>
    <t>Ogniskowa okularu</t>
  </si>
  <si>
    <t>powiększenie</t>
  </si>
  <si>
    <t>pole widzenia bardzo wąskie (poniżej 10')</t>
  </si>
  <si>
    <t>pole widzenia umiarkowane</t>
  </si>
  <si>
    <t>pole widzenia bardzo szerokie (powyżej 1 stopnia)</t>
  </si>
  <si>
    <t>powiększenie zbyt duże, lub zbyt małe</t>
  </si>
  <si>
    <t>Pole widzenia na filmie lub w kamerze CCD (ognisko główne)</t>
  </si>
  <si>
    <t>Film 36x24mm</t>
  </si>
  <si>
    <t>nie dotyczy</t>
  </si>
  <si>
    <t>Film 6x6 cm</t>
  </si>
  <si>
    <t>Film 9x6 cm</t>
  </si>
  <si>
    <t>Kamera JBC-386</t>
  </si>
  <si>
    <t>DMK21</t>
  </si>
  <si>
    <t>szerokość klatki [mm]</t>
  </si>
  <si>
    <t>wysokość klatki [mm]</t>
  </si>
  <si>
    <t>piksele poziomo</t>
  </si>
  <si>
    <t>piksele pionowo</t>
  </si>
  <si>
    <t>piksel poziomo [mikrony]</t>
  </si>
  <si>
    <t>piksel pionowo [mikrony]</t>
  </si>
  <si>
    <t>pole widzenia poziomo [stopnie]</t>
  </si>
  <si>
    <t>pole widzenia pionowo [stopnie]</t>
  </si>
  <si>
    <t>sekundy łuku na piksel poziomo</t>
  </si>
  <si>
    <t>sekundy łuku na piksel pionowo</t>
  </si>
  <si>
    <t>zbyt długa ogniskowa, nie rejestruje dodatkowych szczegółów, a zmniejsza pole widzenia</t>
  </si>
  <si>
    <t>Czasy naświetlania planet na danym filmie 36x24 mm, dwiema metodami.</t>
  </si>
  <si>
    <t>efektywna światłosiła</t>
  </si>
  <si>
    <t>efektywna ogniskowa</t>
  </si>
  <si>
    <t>Słońce (z filtrem)</t>
  </si>
  <si>
    <t>Merkury</t>
  </si>
  <si>
    <t>Wenus (maksymalnie)</t>
  </si>
  <si>
    <t>Ostrzeżenia:</t>
  </si>
  <si>
    <t>Księżyc (pełny)</t>
  </si>
  <si>
    <t>czas dłuższy niż 1/30 s</t>
  </si>
  <si>
    <t>Księżyc (pękaty)</t>
  </si>
  <si>
    <t>czas krótszy niż 1/500 s</t>
  </si>
  <si>
    <t>Księżyc (kwadra)</t>
  </si>
  <si>
    <t>obiekt nie mieści się w klatce 36x24mm</t>
  </si>
  <si>
    <t>Księżyc (sierp)</t>
  </si>
  <si>
    <t>Mars (opozycja)</t>
  </si>
  <si>
    <t>Jowisz</t>
  </si>
  <si>
    <t>Saturn (planeta)</t>
  </si>
  <si>
    <t>Saturn (pierścienie)</t>
  </si>
  <si>
    <t>Uran</t>
  </si>
  <si>
    <t>?</t>
  </si>
  <si>
    <t>Neptun</t>
  </si>
  <si>
    <t>Pluton</t>
  </si>
  <si>
    <t>Alfa (z panelami)</t>
  </si>
  <si>
    <t>Rozmiar planety ['']. Można edytować.</t>
  </si>
  <si>
    <t>Wielkość planety na negatywie w ognisku głównym [mm].</t>
  </si>
  <si>
    <t>Czas naświetlania w ognisku głównym [s].</t>
  </si>
  <si>
    <t>Wielkość planety na negatywie metodą afokalną z użyciem okularu i obiektywu fotograficznego [mm].</t>
  </si>
  <si>
    <t>Wielkość obrazu planety zrobionego metodą afokalną na odbitce 18x13cm [mm].</t>
  </si>
  <si>
    <t>Czas naświetlania w metodzie afokalnej przy danym filmie, okularze i obiektywie aparatu [s].</t>
  </si>
  <si>
    <t>Czułość filmu</t>
  </si>
  <si>
    <t>Obiektyw</t>
  </si>
  <si>
    <t>Okular</t>
  </si>
  <si>
    <t>WARTOŚĆ BRUTTO OGÓŁEM</t>
  </si>
  <si>
    <t>Cena jednostkowa brutto</t>
  </si>
  <si>
    <t>RAZEM:</t>
  </si>
  <si>
    <t>Opis produktu/minimalne wymagania Zamawiającego</t>
  </si>
  <si>
    <t>7=5x6</t>
  </si>
  <si>
    <t>Nazwa produktu</t>
  </si>
  <si>
    <t>załącznik nr 1 do SIWZ</t>
  </si>
  <si>
    <t>46/ZP/RCRE/POKL9.2/2015</t>
  </si>
  <si>
    <t>Ploter atramentowy A0</t>
  </si>
  <si>
    <t xml:space="preserve">Rozmiar / Format [mm]: 914 (A0+)
Interfejsy komunikacyjne: min 1x USB , 1 x LAN / Ethernet
Pamięć RAM: min. 32 GB
Podstawa z koszem na wydruki: w zestawie
Pojemność dysku [GB]: min. 320
Technologia druku: Termiczna HP Inkjet
Rozdzielczość druku [dpi]:min. 2400x1200
Wielkość kropli [pl]:6
Liczba dysz na głowicy:9632 na głowicę
Minimalna szerokość linii [mm]:0,02
Precyzja linii [%]:+/- 0,1
Marginesy:Rolka: 5 x 5 x 5 x 5 mm Arkusz: 5 x 22 x 5 x 5 mm
Szybkość drukowania:21 s/str., 120 wydruków A1 na godzinę, 60 wydruków A0 na godzinę
Pojemność tuszy [ml]:130 , 300, Ilość pojemników z tuszem [szt]:6
Model głowicy drukującej:HP 727
Ilość podajników rolkowych:1
Gramatura nośnika [g/m2]:do 320
Grubość nośnika [mm]:do 0,5
Długość rolki (max) [m]:91
Maksymalna średnica roli [mm]:100
Rodzaj nośników: Papier zwykły , Papier powlekany , Papier samoprzylepny , Papier fotograficzny , Folia , Folia samoprzylepna , Kalka techniczna
Minimalna szerokość rolki [mm]:210
Maksymalna szerokość rolki:914mm (A0+)
Język drukarki: HP-GL/2 , HP RTL , Adobe® PostScript® 3 , TIFF , JPEG , CALS G4 , HP PCL 3 GUI , URF
np. Ploter HP DesignJet T920ps 914mm  lub równoważny
</t>
  </si>
  <si>
    <t xml:space="preserve">
Wielofunkcyjne urządzenie do druku kolorowego w formacie A3+</t>
  </si>
  <si>
    <r>
      <t xml:space="preserve">Proponowany asortyment  
</t>
    </r>
    <r>
      <rPr>
        <b/>
        <sz val="10"/>
        <color indexed="10"/>
        <rFont val="Calibri"/>
        <family val="2"/>
      </rPr>
      <t>(nazwa produktu, typ, model, producent, opis, parametry oferowanego sprzętu)</t>
    </r>
  </si>
  <si>
    <r>
      <t>Skanowanie do DPWS, Skanowanie sieciowe TWAIN, Formaty plików JPEG; TIFF; PDF; PDF/A 1a i 1b (opcja); PDF kompaktowy; szyfrowany PDF; przeszukiwalny PDF (opcja); XPS;, kompaktowy XPS; PPTX;</t>
    </r>
    <r>
      <rPr>
        <b/>
        <sz val="10"/>
        <color indexed="10"/>
        <rFont val="Calibri"/>
        <family val="2"/>
      </rPr>
      <t>.</t>
    </r>
    <r>
      <rPr>
        <sz val="10"/>
        <color indexed="8"/>
        <rFont val="Calibri"/>
        <family val="2"/>
      </rPr>
      <t xml:space="preserve"> Miejsce przeznaczenia 2,100 (pojedyncze + groupy); obsługa LDAP, skanowanych dokumentów Funkcje skanowania Adnotacje(tekst/czas/data) dla PDF; do 400 programowalnych zadań; podgląd skanu w czasie rzeczywistym
Pamięć systemowa min. 2,048 MB , Twardy dysk min. 250 GB, Interfejsy 10-Base-T/100-Base T/1,000-Base-T Ethernet; min 1x USB 2.0. Protokoły sieciowe TCP/IP (IPv4 / IPv6); IPX/SPX; NetBEUI; AppleTalk (EtherTalk); SMB; LPD; IPP; SNMP; http Typy ramek Ethernet 802.2; Ethernet 802.3; Ethernet II; Ethernet SNAP. Automatyczny podajnik Do 100 oryginałów; A6–A3; 35–163 g/m2 dokumentów. Format papieru A6–SRA3, własne formaty papieru; papier banerowy maks. 1,200 x 297 mm, Gramatura papieru 52–300 g/m2 Pojemność wejściowa Standard: 1,150 arkuszy papieru Maks.: 3,650 arkuszy. Kaseta 1 500 arkuszy, A5–A3, 52–256 g/m2. Kaseta 2 500 arkuszy, A5–SRA3, 52–256 g/m2. </t>
    </r>
    <r>
      <rPr>
        <b/>
        <sz val="10"/>
        <color indexed="10"/>
        <rFont val="Calibri"/>
        <family val="2"/>
      </rPr>
      <t xml:space="preserve">
</t>
    </r>
    <r>
      <rPr>
        <sz val="10"/>
        <color indexed="8"/>
        <rFont val="Calibri"/>
        <family val="2"/>
      </rPr>
      <t>Podajnik boczny 150 arkuszy, A6–SRA3, własne formaty papieru, baner, 60–300 g/m2, Automatyczny druk A5–SRA3; 52–256 g/m2 dwustronny, Tryby wykańczania Przesunięcie; grupowanie; sortowanie; zszywanie; dziurkowanie; Pojemność odbiorcza Maks.: 3,300 arkuszy (z finiszerem), Pojemność odbiorcza Maks.: 250 arkuszy (bezZszywanie Maks.: 50 arkuszy lub 48 arkuszy + 2 arkusze okładki(do 209 g/m2). Pojemność wyjściowa Mak. 1,000 arkuszy. Pobór mocy 220–240 V / 50/60 Hz, poniżej 1.5 kW (system), TEC* 1,68 kWh/tydz., Wymiary systemu 615 x 685 x 779 mm (bez ADF dolnej tacy na papier)
Oprogramowanie PageScope Net Care Device Manager – Zdalne zarządzanie urządzeniem
PageScope Data Administrator – Zarządzanie danymi użytkownikówPageScope Box Operator – Zarządzanie skrzynkami użytkownikówPageScope Direct Print – Szybkie drukowanie bez sterownikaPrint Status Notifier – Powiadamianie o statusie urządzenia, Driver Packaging Utility – Zestaw sterowników, Log Management Utility – Informacje o logach przebiegu wykonywanych zadańw czerni i w kolorze. Standardowy kontroler druku Emperon™ z obsługą PCL 6c, PostScript 3, PDF 1.7 i XPS. Pojemność papieru 500 + 500 arkuszy oraz 150arkuszy z podajnika bocznego. Nośniki od A6 do SRA3, baner 1.2 m i gramatura mediów 52 – 300 g/m2.
Pamięć min 2 GB, dysk twardy min 250 GB i standardowy Gigabit Ethernet, w zestawie komplet orginalnych tonerów Toner TN 319 K(czarny) wydajność 29 K, Toner TN 319 Y(yellow) wydajność 26 K, Toner TN 319 M(magenta) wydajność 26 K, Toner TN 319 C(cyan) wydajność 26 K, zestaw orgyginalnych bębnów DR 512 K(czarny) wydajność 120 K, DR 311 Y(yellow) wydajność 90 K, DR 311 M(magenta)wydajność 90 K, DR 311 C(cyan) wydajność 90 K Szybkość kopiowania/drukowania A4: 0d 30 do 36 kopii/min
A3:od 15 do 17 kopii/min
np. Konica Minoltabizhub C364e + zewnętrzny finisher zszywający FS-534 rozszerzony o moduł dziurkacza lub równoważny</t>
    </r>
  </si>
</sst>
</file>

<file path=xl/styles.xml><?xml version="1.0" encoding="utf-8"?>
<styleSheet xmlns="http://schemas.openxmlformats.org/spreadsheetml/2006/main">
  <numFmts count="3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 [$zł-415]_-;\-* #,##0.00\ [$zł-415]_-;_-* &quot;-&quot;??\ [$zł-415]_-;_-@_-"/>
    <numFmt numFmtId="165" formatCode="#,##0.00\ &quot;zł&quot;"/>
    <numFmt numFmtId="166" formatCode="0\ &quot;mm&quot;"/>
    <numFmt numFmtId="167" formatCode="&quot;f/&quot;\ 0.0"/>
    <numFmt numFmtId="168" formatCode="0.0&quot;''&quot;"/>
    <numFmt numFmtId="169" formatCode="0.0\ &quot;m&quot;"/>
    <numFmt numFmtId="170" formatCode="0.0\ &quot;x&quot;"/>
    <numFmt numFmtId="171" formatCode="0&quot;x&quot;"/>
    <numFmt numFmtId="172" formatCode="0\ &quot;x&quot;"/>
    <numFmt numFmtId="173" formatCode="0&quot;'&quot;"/>
    <numFmt numFmtId="174" formatCode="0.0"/>
    <numFmt numFmtId="175" formatCode="0.00&quot;''&quot;"/>
    <numFmt numFmtId="176" formatCode="&quot;f/ &quot;0.0\ "/>
    <numFmt numFmtId="177" formatCode="0.00\ &quot;mm&quot;"/>
    <numFmt numFmtId="178" formatCode="0.0000\ &quot;s&quot;"/>
    <numFmt numFmtId="179" formatCode="0.0\ &quot;mm&quot;"/>
    <numFmt numFmtId="180" formatCode="#,##0.00\ _z_ł;[Red]#,##\&lt;\1\ 0.00\ _z_ł"/>
    <numFmt numFmtId="181" formatCode="0\ &quot;ASA&quot;"/>
    <numFmt numFmtId="182" formatCode="&quot;Tak&quot;;&quot;Tak&quot;;&quot;Nie&quot;"/>
    <numFmt numFmtId="183" formatCode="&quot;Prawda&quot;;&quot;Prawda&quot;;&quot;Fałsz&quot;"/>
    <numFmt numFmtId="184" formatCode="&quot;Włączone&quot;;&quot;Włączone&quot;;&quot;Wyłączone&quot;"/>
    <numFmt numFmtId="185" formatCode="[$€-2]\ #,##0.00_);[Red]\([$€-2]\ #,##0.00\)"/>
  </numFmts>
  <fonts count="47">
    <font>
      <sz val="10"/>
      <name val="Arial"/>
      <family val="0"/>
    </font>
    <font>
      <sz val="11"/>
      <color indexed="8"/>
      <name val="Calibri"/>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name val="Arial"/>
      <family val="2"/>
    </font>
    <font>
      <b/>
      <sz val="16"/>
      <name val="Arial CE"/>
      <family val="2"/>
    </font>
    <font>
      <b/>
      <sz val="8"/>
      <name val="Arial CE"/>
      <family val="2"/>
    </font>
    <font>
      <b/>
      <u val="single"/>
      <sz val="8"/>
      <color indexed="12"/>
      <name val="Arial CE"/>
      <family val="2"/>
    </font>
    <font>
      <b/>
      <sz val="8"/>
      <color indexed="8"/>
      <name val="Arial CE"/>
      <family val="2"/>
    </font>
    <font>
      <b/>
      <sz val="8"/>
      <color indexed="9"/>
      <name val="Arial CE"/>
      <family val="2"/>
    </font>
    <font>
      <sz val="8"/>
      <name val="Arial CE"/>
      <family val="2"/>
    </font>
    <font>
      <sz val="10"/>
      <name val="Arial CE"/>
      <family val="2"/>
    </font>
    <font>
      <b/>
      <sz val="10"/>
      <name val="Arial CE"/>
      <family val="2"/>
    </font>
    <font>
      <sz val="7"/>
      <name val="Arial CE"/>
      <family val="2"/>
    </font>
    <font>
      <b/>
      <i/>
      <sz val="7"/>
      <color indexed="9"/>
      <name val="Arial CE"/>
      <family val="2"/>
    </font>
    <font>
      <b/>
      <i/>
      <sz val="8"/>
      <name val="Arial CE"/>
      <family val="2"/>
    </font>
    <font>
      <i/>
      <sz val="10"/>
      <name val="Calibri"/>
      <family val="2"/>
    </font>
    <font>
      <b/>
      <sz val="10"/>
      <color indexed="10"/>
      <name val="Calibri"/>
      <family val="2"/>
    </font>
    <font>
      <sz val="10"/>
      <color indexed="8"/>
      <name val="Calibri"/>
      <family val="2"/>
    </font>
    <font>
      <u val="single"/>
      <sz val="10"/>
      <color indexed="12"/>
      <name val="Arial"/>
      <family val="2"/>
    </font>
    <font>
      <sz val="9"/>
      <name val="Calibri"/>
      <family val="2"/>
    </font>
    <font>
      <b/>
      <sz val="9"/>
      <name val="Calibri"/>
      <family val="2"/>
    </font>
    <font>
      <sz val="10"/>
      <name val="Calibri"/>
      <family val="2"/>
    </font>
    <font>
      <b/>
      <sz val="10"/>
      <name val="Calibri"/>
      <family val="2"/>
    </font>
    <font>
      <i/>
      <sz val="12"/>
      <name val="Calibri"/>
      <family val="2"/>
    </font>
    <font>
      <sz val="12"/>
      <name val="Calibri"/>
      <family val="2"/>
    </font>
    <font>
      <b/>
      <sz val="10"/>
      <color indexed="8"/>
      <name val="Calibri"/>
      <family val="2"/>
    </font>
    <font>
      <u val="single"/>
      <sz val="10"/>
      <color theme="10"/>
      <name val="Arial"/>
      <family val="2"/>
    </font>
    <font>
      <sz val="11"/>
      <color theme="1"/>
      <name val="Czcionka tekstu podstawowego"/>
      <family val="2"/>
    </font>
    <font>
      <sz val="10"/>
      <color theme="1"/>
      <name val="Calibri"/>
      <family val="2"/>
    </font>
    <font>
      <b/>
      <sz val="10"/>
      <color rgb="FF000000"/>
      <name val="Calibri"/>
      <family val="2"/>
    </font>
    <font>
      <sz val="10"/>
      <color rgb="FF000000"/>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50"/>
        <bgColor indexed="64"/>
      </patternFill>
    </fill>
    <fill>
      <patternFill patternType="solid">
        <fgColor indexed="40"/>
        <bgColor indexed="64"/>
      </patternFill>
    </fill>
    <fill>
      <patternFill patternType="solid">
        <fgColor theme="0"/>
        <bgColor indexed="64"/>
      </patternFill>
    </fill>
    <fill>
      <patternFill patternType="solid">
        <fgColor theme="0" tint="-0.1499900072813034"/>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style="thin"/>
      <right/>
      <top/>
      <bottom/>
    </border>
    <border>
      <left/>
      <right style="thin"/>
      <top style="thin"/>
      <bottom style="thin"/>
    </border>
    <border>
      <left style="thin"/>
      <right style="thin"/>
      <top/>
      <bottom style="thin"/>
    </border>
    <border>
      <left/>
      <right style="thin"/>
      <top/>
      <bottom/>
    </border>
    <border>
      <left style="thin">
        <color rgb="FF000000"/>
      </left>
      <right style="thin">
        <color rgb="FF000000"/>
      </right>
      <top style="thin">
        <color rgb="FF000000"/>
      </top>
      <bottom style="thin">
        <color rgb="FF000000"/>
      </bottom>
    </border>
    <border>
      <left/>
      <right/>
      <top/>
      <bottom style="thin"/>
    </border>
    <border>
      <left/>
      <right/>
      <top style="thin"/>
      <bottom style="thin"/>
    </border>
    <border>
      <left style="thin"/>
      <right style="thin"/>
      <top/>
      <bottom/>
    </border>
    <border>
      <left style="thin"/>
      <right style="thin"/>
      <top style="thin"/>
      <bottom/>
    </border>
    <border>
      <left/>
      <right/>
      <top style="thin"/>
      <bottom/>
    </border>
    <border>
      <left/>
      <right style="thin"/>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0" borderId="0" applyNumberFormat="0" applyFill="0" applyBorder="0" applyAlignment="0" applyProtection="0"/>
    <xf numFmtId="0" fontId="7" fillId="0" borderId="3" applyNumberFormat="0" applyFill="0" applyAlignment="0" applyProtection="0"/>
    <xf numFmtId="0" fontId="8" fillId="21" borderId="4" applyNumberFormat="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22" borderId="0" applyNumberFormat="0" applyBorder="0" applyAlignment="0" applyProtection="0"/>
    <xf numFmtId="0" fontId="43" fillId="0" borderId="0">
      <alignment/>
      <protection/>
    </xf>
    <xf numFmtId="0" fontId="1" fillId="0" borderId="0">
      <alignment/>
      <protection/>
    </xf>
    <xf numFmtId="0" fontId="13" fillId="20" borderId="1" applyNumberFormat="0" applyAlignment="0" applyProtection="0"/>
    <xf numFmtId="9" fontId="0" fillId="0" borderId="0" applyFont="0" applyFill="0" applyBorder="0" applyAlignment="0" applyProtection="0"/>
    <xf numFmtId="0" fontId="14" fillId="0" borderId="8"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8" fillId="3" borderId="0" applyNumberFormat="0" applyBorder="0" applyAlignment="0" applyProtection="0"/>
  </cellStyleXfs>
  <cellXfs count="139">
    <xf numFmtId="0" fontId="0" fillId="0" borderId="0" xfId="0" applyAlignment="1">
      <alignment/>
    </xf>
    <xf numFmtId="0" fontId="0" fillId="0" borderId="0" xfId="0" applyAlignment="1">
      <alignment horizontal="center"/>
    </xf>
    <xf numFmtId="0" fontId="20" fillId="0" borderId="0" xfId="0" applyFont="1" applyAlignment="1">
      <alignment horizontal="center"/>
    </xf>
    <xf numFmtId="166" fontId="24" fillId="24" borderId="0" xfId="0" applyNumberFormat="1" applyFont="1" applyFill="1" applyBorder="1" applyAlignment="1" applyProtection="1">
      <alignment/>
      <protection locked="0"/>
    </xf>
    <xf numFmtId="167" fontId="25" fillId="0" borderId="0" xfId="0" applyNumberFormat="1" applyFont="1" applyFill="1" applyAlignment="1">
      <alignment horizontal="center"/>
    </xf>
    <xf numFmtId="168" fontId="25" fillId="0" borderId="0" xfId="0" applyNumberFormat="1" applyFont="1" applyFill="1" applyAlignment="1">
      <alignment horizontal="center"/>
    </xf>
    <xf numFmtId="169" fontId="25" fillId="0" borderId="0" xfId="0" applyNumberFormat="1" applyFont="1" applyFill="1" applyAlignment="1">
      <alignment horizontal="center"/>
    </xf>
    <xf numFmtId="170" fontId="25" fillId="0" borderId="0" xfId="0" applyNumberFormat="1" applyFont="1" applyFill="1" applyAlignment="1">
      <alignment horizontal="center"/>
    </xf>
    <xf numFmtId="166" fontId="25" fillId="0" borderId="0" xfId="0" applyNumberFormat="1" applyFont="1" applyAlignment="1">
      <alignment horizontal="left"/>
    </xf>
    <xf numFmtId="171" fontId="25" fillId="0" borderId="0" xfId="0" applyNumberFormat="1" applyFont="1" applyFill="1" applyAlignment="1">
      <alignment horizontal="center"/>
    </xf>
    <xf numFmtId="0" fontId="25" fillId="0" borderId="0" xfId="0" applyFont="1" applyAlignment="1">
      <alignment horizontal="left"/>
    </xf>
    <xf numFmtId="166" fontId="25" fillId="0" borderId="0" xfId="0" applyNumberFormat="1" applyFont="1" applyAlignment="1">
      <alignment horizontal="center"/>
    </xf>
    <xf numFmtId="166" fontId="24" fillId="24" borderId="0" xfId="0" applyNumberFormat="1" applyFont="1" applyFill="1" applyAlignment="1" applyProtection="1">
      <alignment horizontal="center"/>
      <protection locked="0"/>
    </xf>
    <xf numFmtId="172" fontId="26" fillId="0" borderId="0" xfId="0" applyNumberFormat="1" applyFont="1" applyFill="1" applyAlignment="1">
      <alignment/>
    </xf>
    <xf numFmtId="0" fontId="26" fillId="0" borderId="0" xfId="0" applyFont="1" applyAlignment="1">
      <alignment horizontal="center"/>
    </xf>
    <xf numFmtId="169" fontId="26" fillId="0" borderId="0" xfId="0" applyNumberFormat="1" applyFont="1" applyFill="1" applyAlignment="1">
      <alignment/>
    </xf>
    <xf numFmtId="0" fontId="0" fillId="0" borderId="0" xfId="0" applyFill="1" applyAlignment="1">
      <alignment horizontal="center"/>
    </xf>
    <xf numFmtId="1" fontId="25" fillId="8" borderId="0" xfId="0" applyNumberFormat="1" applyFont="1" applyFill="1" applyAlignment="1">
      <alignment horizontal="center"/>
    </xf>
    <xf numFmtId="0" fontId="25" fillId="8" borderId="0" xfId="0" applyFont="1" applyFill="1" applyAlignment="1">
      <alignment horizontal="center"/>
    </xf>
    <xf numFmtId="173" fontId="25" fillId="0" borderId="10" xfId="0" applyNumberFormat="1" applyFont="1" applyBorder="1" applyAlignment="1">
      <alignment horizontal="center"/>
    </xf>
    <xf numFmtId="173" fontId="25" fillId="0" borderId="11" xfId="0" applyNumberFormat="1" applyFont="1" applyBorder="1" applyAlignment="1">
      <alignment horizontal="center"/>
    </xf>
    <xf numFmtId="171" fontId="25" fillId="8" borderId="12" xfId="0" applyNumberFormat="1" applyFont="1" applyFill="1" applyBorder="1" applyAlignment="1">
      <alignment horizontal="center"/>
    </xf>
    <xf numFmtId="173" fontId="21" fillId="0" borderId="10" xfId="0" applyNumberFormat="1" applyFont="1" applyBorder="1" applyAlignment="1">
      <alignment horizontal="center"/>
    </xf>
    <xf numFmtId="173" fontId="25" fillId="0" borderId="10" xfId="0" applyNumberFormat="1" applyFont="1" applyFill="1" applyBorder="1" applyAlignment="1">
      <alignment horizontal="center"/>
    </xf>
    <xf numFmtId="0" fontId="25" fillId="0" borderId="0" xfId="0" applyFont="1" applyAlignment="1">
      <alignment/>
    </xf>
    <xf numFmtId="0" fontId="0" fillId="17" borderId="0" xfId="0" applyFill="1" applyBorder="1" applyAlignment="1">
      <alignment horizontal="center"/>
    </xf>
    <xf numFmtId="0" fontId="25" fillId="0" borderId="0" xfId="0" applyFont="1" applyAlignment="1">
      <alignment horizontal="center"/>
    </xf>
    <xf numFmtId="0" fontId="0" fillId="0" borderId="0" xfId="0" applyAlignment="1">
      <alignment horizontal="right"/>
    </xf>
    <xf numFmtId="0" fontId="0" fillId="7" borderId="0" xfId="0" applyFill="1" applyBorder="1" applyAlignment="1">
      <alignment horizontal="center"/>
    </xf>
    <xf numFmtId="0" fontId="0" fillId="25" borderId="0" xfId="0" applyFill="1" applyBorder="1" applyAlignment="1">
      <alignment horizontal="center"/>
    </xf>
    <xf numFmtId="0" fontId="0" fillId="5" borderId="0" xfId="0" applyFill="1" applyBorder="1" applyAlignment="1">
      <alignment horizontal="center"/>
    </xf>
    <xf numFmtId="174" fontId="25" fillId="0" borderId="10" xfId="0" applyNumberFormat="1" applyFont="1" applyBorder="1" applyAlignment="1">
      <alignment horizontal="center"/>
    </xf>
    <xf numFmtId="0" fontId="25" fillId="8" borderId="0" xfId="0" applyFont="1" applyFill="1" applyBorder="1" applyAlignment="1">
      <alignment horizontal="center"/>
    </xf>
    <xf numFmtId="2" fontId="25" fillId="0" borderId="10" xfId="0" applyNumberFormat="1" applyFont="1" applyFill="1" applyBorder="1" applyAlignment="1">
      <alignment horizontal="center"/>
    </xf>
    <xf numFmtId="0" fontId="28" fillId="8" borderId="0" xfId="0" applyFont="1" applyFill="1" applyAlignment="1">
      <alignment horizontal="left"/>
    </xf>
    <xf numFmtId="2" fontId="25" fillId="0" borderId="10" xfId="0" applyNumberFormat="1" applyFont="1" applyBorder="1" applyAlignment="1">
      <alignment horizontal="center"/>
    </xf>
    <xf numFmtId="0" fontId="25" fillId="0" borderId="10" xfId="0" applyFont="1" applyBorder="1" applyAlignment="1">
      <alignment horizontal="center"/>
    </xf>
    <xf numFmtId="175" fontId="25" fillId="0" borderId="10" xfId="0" applyNumberFormat="1" applyFont="1" applyFill="1" applyBorder="1" applyAlignment="1">
      <alignment horizontal="center"/>
    </xf>
    <xf numFmtId="2" fontId="30" fillId="0" borderId="10" xfId="0" applyNumberFormat="1" applyFont="1" applyBorder="1" applyAlignment="1" applyProtection="1">
      <alignment horizontal="center"/>
      <protection locked="0"/>
    </xf>
    <xf numFmtId="0" fontId="30" fillId="0" borderId="10" xfId="0" applyFont="1" applyBorder="1" applyAlignment="1" applyProtection="1">
      <alignment horizontal="center"/>
      <protection locked="0"/>
    </xf>
    <xf numFmtId="0" fontId="0" fillId="0" borderId="0" xfId="0" applyAlignment="1">
      <alignment horizontal="center" wrapText="1"/>
    </xf>
    <xf numFmtId="0" fontId="28" fillId="8" borderId="0" xfId="0" applyFont="1" applyFill="1" applyAlignment="1">
      <alignment horizontal="center" vertical="top" textRotation="90" wrapText="1"/>
    </xf>
    <xf numFmtId="0" fontId="28" fillId="26" borderId="0" xfId="0" applyFont="1" applyFill="1" applyAlignment="1">
      <alignment horizontal="center" vertical="top" textRotation="90" wrapText="1"/>
    </xf>
    <xf numFmtId="0" fontId="0" fillId="17" borderId="0" xfId="0" applyFill="1" applyAlignment="1">
      <alignment horizontal="center"/>
    </xf>
    <xf numFmtId="0" fontId="27" fillId="0" borderId="0" xfId="0" applyFont="1" applyAlignment="1">
      <alignment horizontal="center"/>
    </xf>
    <xf numFmtId="176" fontId="25" fillId="5" borderId="13" xfId="0" applyNumberFormat="1" applyFont="1" applyFill="1" applyBorder="1" applyAlignment="1">
      <alignment/>
    </xf>
    <xf numFmtId="166" fontId="25" fillId="5" borderId="13" xfId="0" applyNumberFormat="1" applyFont="1" applyFill="1" applyBorder="1" applyAlignment="1">
      <alignment/>
    </xf>
    <xf numFmtId="168" fontId="25" fillId="0" borderId="13" xfId="0" applyNumberFormat="1" applyFont="1" applyBorder="1" applyAlignment="1" applyProtection="1">
      <alignment horizontal="center"/>
      <protection locked="0"/>
    </xf>
    <xf numFmtId="177" fontId="25" fillId="0" borderId="10" xfId="0" applyNumberFormat="1" applyFont="1" applyBorder="1" applyAlignment="1">
      <alignment horizontal="center"/>
    </xf>
    <xf numFmtId="178" fontId="25" fillId="0" borderId="10" xfId="0" applyNumberFormat="1" applyFont="1" applyBorder="1" applyAlignment="1">
      <alignment horizontal="center"/>
    </xf>
    <xf numFmtId="177" fontId="25" fillId="0" borderId="14" xfId="0" applyNumberFormat="1" applyFont="1" applyFill="1" applyBorder="1" applyAlignment="1">
      <alignment horizontal="center"/>
    </xf>
    <xf numFmtId="179" fontId="25" fillId="0" borderId="14" xfId="0" applyNumberFormat="1" applyFont="1" applyBorder="1" applyAlignment="1">
      <alignment horizontal="center"/>
    </xf>
    <xf numFmtId="178" fontId="25" fillId="0" borderId="14" xfId="0" applyNumberFormat="1" applyFont="1" applyBorder="1" applyAlignment="1">
      <alignment horizontal="center"/>
    </xf>
    <xf numFmtId="177" fontId="25" fillId="0" borderId="10" xfId="0" applyNumberFormat="1" applyFont="1" applyFill="1" applyBorder="1" applyAlignment="1">
      <alignment horizontal="center"/>
    </xf>
    <xf numFmtId="179" fontId="25" fillId="0" borderId="10" xfId="0" applyNumberFormat="1" applyFont="1" applyBorder="1" applyAlignment="1">
      <alignment horizontal="center"/>
    </xf>
    <xf numFmtId="0" fontId="21" fillId="0" borderId="0" xfId="0" applyFont="1" applyAlignment="1">
      <alignment horizontal="left"/>
    </xf>
    <xf numFmtId="0" fontId="25" fillId="8" borderId="0" xfId="0" applyFont="1" applyFill="1" applyBorder="1" applyAlignment="1">
      <alignment horizontal="left"/>
    </xf>
    <xf numFmtId="0" fontId="25" fillId="8" borderId="15" xfId="0" applyFont="1" applyFill="1" applyBorder="1" applyAlignment="1">
      <alignment horizontal="left"/>
    </xf>
    <xf numFmtId="0" fontId="0" fillId="7" borderId="0" xfId="0" applyFill="1" applyAlignment="1">
      <alignment horizontal="left"/>
    </xf>
    <xf numFmtId="0" fontId="0" fillId="3" borderId="0" xfId="0" applyFill="1" applyAlignment="1">
      <alignment horizontal="center"/>
    </xf>
    <xf numFmtId="0" fontId="0" fillId="20" borderId="0" xfId="0" applyFill="1" applyAlignment="1">
      <alignment horizontal="center"/>
    </xf>
    <xf numFmtId="168" fontId="21" fillId="0" borderId="13" xfId="0" applyNumberFormat="1" applyFont="1" applyBorder="1" applyAlignment="1" applyProtection="1">
      <alignment horizontal="center"/>
      <protection locked="0"/>
    </xf>
    <xf numFmtId="177" fontId="21" fillId="0" borderId="10" xfId="0" applyNumberFormat="1" applyFont="1" applyBorder="1" applyAlignment="1">
      <alignment horizontal="center"/>
    </xf>
    <xf numFmtId="178" fontId="21" fillId="0" borderId="10" xfId="0" applyNumberFormat="1" applyFont="1" applyBorder="1" applyAlignment="1">
      <alignment horizontal="center"/>
    </xf>
    <xf numFmtId="177" fontId="21" fillId="0" borderId="10" xfId="0" applyNumberFormat="1" applyFont="1" applyFill="1" applyBorder="1" applyAlignment="1">
      <alignment horizontal="center"/>
    </xf>
    <xf numFmtId="179" fontId="21" fillId="0" borderId="10" xfId="0" applyNumberFormat="1" applyFont="1" applyBorder="1" applyAlignment="1">
      <alignment horizontal="center"/>
    </xf>
    <xf numFmtId="180" fontId="0" fillId="0" borderId="0" xfId="0" applyNumberFormat="1" applyAlignment="1">
      <alignment horizontal="center"/>
    </xf>
    <xf numFmtId="0" fontId="25" fillId="8" borderId="10" xfId="0" applyFont="1" applyFill="1" applyBorder="1" applyAlignment="1">
      <alignment horizontal="center" textRotation="90" wrapText="1"/>
    </xf>
    <xf numFmtId="0" fontId="25" fillId="8" borderId="14" xfId="0" applyFont="1" applyFill="1" applyBorder="1" applyAlignment="1">
      <alignment horizontal="center" textRotation="90" wrapText="1"/>
    </xf>
    <xf numFmtId="0" fontId="25" fillId="5" borderId="10" xfId="0" applyFont="1" applyFill="1" applyBorder="1" applyAlignment="1">
      <alignment horizontal="center" textRotation="90" wrapText="1"/>
    </xf>
    <xf numFmtId="181" fontId="24" fillId="24" borderId="10" xfId="0" applyNumberFormat="1" applyFont="1" applyFill="1" applyBorder="1" applyAlignment="1" applyProtection="1">
      <alignment horizontal="center"/>
      <protection locked="0"/>
    </xf>
    <xf numFmtId="0" fontId="25" fillId="0" borderId="0" xfId="0" applyFont="1" applyAlignment="1">
      <alignment horizontal="right"/>
    </xf>
    <xf numFmtId="166" fontId="24" fillId="24" borderId="10" xfId="0" applyNumberFormat="1" applyFont="1" applyFill="1" applyBorder="1" applyAlignment="1" applyProtection="1">
      <alignment horizontal="left"/>
      <protection locked="0"/>
    </xf>
    <xf numFmtId="0" fontId="35" fillId="0" borderId="0" xfId="0" applyFont="1" applyFill="1" applyBorder="1" applyAlignment="1">
      <alignment horizontal="center" vertical="center"/>
    </xf>
    <xf numFmtId="0" fontId="35" fillId="0" borderId="0" xfId="0" applyFont="1" applyFill="1" applyBorder="1" applyAlignment="1">
      <alignment vertical="center"/>
    </xf>
    <xf numFmtId="164" fontId="35" fillId="0" borderId="0" xfId="0" applyNumberFormat="1" applyFont="1" applyFill="1" applyBorder="1" applyAlignment="1">
      <alignment vertical="center"/>
    </xf>
    <xf numFmtId="0" fontId="35" fillId="0" borderId="0" xfId="0" applyFont="1" applyFill="1" applyBorder="1" applyAlignment="1">
      <alignment vertical="center" wrapText="1"/>
    </xf>
    <xf numFmtId="0" fontId="36" fillId="0" borderId="0" xfId="0" applyFont="1" applyAlignment="1">
      <alignment horizontal="center" vertical="center" wrapText="1"/>
    </xf>
    <xf numFmtId="0" fontId="35" fillId="27" borderId="0" xfId="0" applyFont="1" applyFill="1" applyAlignment="1">
      <alignment horizontal="center" vertical="center"/>
    </xf>
    <xf numFmtId="0" fontId="44" fillId="0" borderId="10" xfId="0" applyNumberFormat="1" applyFont="1" applyBorder="1" applyAlignment="1">
      <alignment horizontal="center" vertical="center" wrapText="1"/>
    </xf>
    <xf numFmtId="0" fontId="37" fillId="0" borderId="10" xfId="0" applyFont="1" applyFill="1" applyBorder="1" applyAlignment="1">
      <alignment horizontal="center" vertical="center"/>
    </xf>
    <xf numFmtId="165" fontId="37" fillId="0" borderId="10" xfId="53" applyNumberFormat="1" applyFont="1" applyFill="1" applyBorder="1" applyAlignment="1">
      <alignment horizontal="center" vertical="center" wrapText="1"/>
      <protection/>
    </xf>
    <xf numFmtId="165" fontId="38" fillId="28" borderId="10" xfId="0" applyNumberFormat="1" applyFont="1" applyFill="1" applyBorder="1" applyAlignment="1">
      <alignment horizontal="center" vertical="center"/>
    </xf>
    <xf numFmtId="0" fontId="38" fillId="28" borderId="10" xfId="53" applyFont="1" applyFill="1" applyBorder="1" applyAlignment="1">
      <alignment horizontal="center" vertical="center" wrapText="1"/>
      <protection/>
    </xf>
    <xf numFmtId="0" fontId="37" fillId="0" borderId="10" xfId="53" applyFont="1" applyFill="1" applyBorder="1" applyAlignment="1">
      <alignment horizontal="center" vertical="center" wrapText="1"/>
      <protection/>
    </xf>
    <xf numFmtId="0" fontId="45" fillId="0" borderId="16" xfId="0" applyFont="1" applyBorder="1" applyAlignment="1">
      <alignment vertical="center"/>
    </xf>
    <xf numFmtId="0" fontId="46" fillId="0" borderId="16" xfId="0" applyFont="1" applyFill="1" applyBorder="1" applyAlignment="1">
      <alignment vertical="center" wrapText="1"/>
    </xf>
    <xf numFmtId="0" fontId="45" fillId="0" borderId="16" xfId="0" applyFont="1" applyBorder="1" applyAlignment="1">
      <alignment vertical="center" wrapText="1"/>
    </xf>
    <xf numFmtId="0" fontId="46" fillId="0" borderId="16" xfId="0" applyFont="1" applyFill="1" applyBorder="1" applyAlignment="1">
      <alignment horizontal="left" vertical="top" wrapText="1"/>
    </xf>
    <xf numFmtId="165" fontId="37" fillId="0" borderId="10" xfId="53" applyNumberFormat="1" applyFont="1" applyFill="1" applyBorder="1" applyAlignment="1">
      <alignment horizontal="left" vertical="center" wrapText="1"/>
      <protection/>
    </xf>
    <xf numFmtId="0" fontId="37" fillId="0" borderId="10" xfId="0" applyFont="1" applyFill="1" applyBorder="1" applyAlignment="1">
      <alignment vertical="center"/>
    </xf>
    <xf numFmtId="0" fontId="31" fillId="27" borderId="17" xfId="0" applyFont="1" applyFill="1" applyBorder="1" applyAlignment="1">
      <alignment horizontal="center" vertical="center"/>
    </xf>
    <xf numFmtId="0" fontId="31" fillId="27" borderId="17" xfId="0" applyFont="1" applyFill="1" applyBorder="1" applyAlignment="1">
      <alignment horizontal="center" vertical="center"/>
    </xf>
    <xf numFmtId="0" fontId="38" fillId="28" borderId="11" xfId="0" applyFont="1" applyFill="1" applyBorder="1" applyAlignment="1">
      <alignment horizontal="right" vertical="center"/>
    </xf>
    <xf numFmtId="0" fontId="38" fillId="28" borderId="18" xfId="0" applyFont="1" applyFill="1" applyBorder="1" applyAlignment="1">
      <alignment horizontal="right" vertical="center"/>
    </xf>
    <xf numFmtId="0" fontId="38" fillId="28" borderId="13" xfId="0" applyFont="1" applyFill="1" applyBorder="1" applyAlignment="1">
      <alignment horizontal="right" vertical="center"/>
    </xf>
    <xf numFmtId="164" fontId="39" fillId="27" borderId="11" xfId="0" applyNumberFormat="1" applyFont="1" applyFill="1" applyBorder="1" applyAlignment="1">
      <alignment horizontal="center" vertical="center"/>
    </xf>
    <xf numFmtId="164" fontId="40" fillId="27" borderId="18" xfId="0" applyNumberFormat="1" applyFont="1" applyFill="1" applyBorder="1" applyAlignment="1">
      <alignment horizontal="center" vertical="center"/>
    </xf>
    <xf numFmtId="164" fontId="40" fillId="27" borderId="13" xfId="0" applyNumberFormat="1" applyFont="1" applyFill="1" applyBorder="1" applyAlignment="1">
      <alignment horizontal="center" vertical="center"/>
    </xf>
    <xf numFmtId="179" fontId="0" fillId="0" borderId="0" xfId="0" applyNumberFormat="1" applyAlignment="1">
      <alignment horizontal="center"/>
    </xf>
    <xf numFmtId="0" fontId="25" fillId="5" borderId="19" xfId="0" applyFont="1" applyFill="1" applyBorder="1" applyAlignment="1">
      <alignment horizontal="center" textRotation="90" wrapText="1"/>
    </xf>
    <xf numFmtId="0" fontId="25" fillId="5" borderId="14" xfId="0" applyFont="1" applyFill="1" applyBorder="1" applyAlignment="1">
      <alignment horizontal="center" textRotation="90" wrapText="1"/>
    </xf>
    <xf numFmtId="0" fontId="25" fillId="0" borderId="0" xfId="0" applyFont="1" applyFill="1" applyAlignment="1">
      <alignment horizontal="right" wrapText="1"/>
    </xf>
    <xf numFmtId="0" fontId="21" fillId="0" borderId="0" xfId="0" applyFont="1" applyFill="1" applyAlignment="1">
      <alignment horizontal="right" wrapText="1"/>
    </xf>
    <xf numFmtId="0" fontId="21" fillId="0" borderId="0" xfId="0" applyFont="1" applyAlignment="1">
      <alignment horizontal="center"/>
    </xf>
    <xf numFmtId="0" fontId="25" fillId="8" borderId="0" xfId="0" applyFont="1" applyFill="1" applyBorder="1" applyAlignment="1">
      <alignment horizontal="left"/>
    </xf>
    <xf numFmtId="0" fontId="25" fillId="8" borderId="15" xfId="0" applyFont="1" applyFill="1" applyBorder="1" applyAlignment="1">
      <alignment horizontal="left"/>
    </xf>
    <xf numFmtId="0" fontId="21" fillId="8" borderId="0" xfId="0" applyFont="1" applyFill="1" applyBorder="1" applyAlignment="1">
      <alignment horizontal="left"/>
    </xf>
    <xf numFmtId="0" fontId="21" fillId="8" borderId="15" xfId="0" applyFont="1" applyFill="1" applyBorder="1" applyAlignment="1">
      <alignment horizontal="left"/>
    </xf>
    <xf numFmtId="178" fontId="25" fillId="0" borderId="20" xfId="0" applyNumberFormat="1" applyFont="1" applyBorder="1" applyAlignment="1">
      <alignment horizontal="center" vertical="center"/>
    </xf>
    <xf numFmtId="178" fontId="25" fillId="0" borderId="14" xfId="0" applyNumberFormat="1" applyFont="1" applyBorder="1" applyAlignment="1">
      <alignment horizontal="center" vertical="center"/>
    </xf>
    <xf numFmtId="0" fontId="25" fillId="0" borderId="20" xfId="0" applyFont="1" applyBorder="1" applyAlignment="1">
      <alignment horizontal="center" vertical="center"/>
    </xf>
    <xf numFmtId="0" fontId="25" fillId="0" borderId="19" xfId="0" applyFont="1" applyBorder="1" applyAlignment="1">
      <alignment horizontal="center" vertical="center"/>
    </xf>
    <xf numFmtId="0" fontId="25" fillId="0" borderId="14" xfId="0" applyFont="1" applyBorder="1" applyAlignment="1">
      <alignment horizontal="center" vertical="center"/>
    </xf>
    <xf numFmtId="0" fontId="25" fillId="0" borderId="10" xfId="0" applyFont="1" applyBorder="1" applyAlignment="1">
      <alignment horizontal="center" vertical="center"/>
    </xf>
    <xf numFmtId="0" fontId="25" fillId="0" borderId="0" xfId="0" applyFont="1" applyAlignment="1">
      <alignment horizontal="left"/>
    </xf>
    <xf numFmtId="0" fontId="29" fillId="24" borderId="0" xfId="0" applyFont="1" applyFill="1" applyAlignment="1" applyProtection="1">
      <alignment horizontal="left"/>
      <protection locked="0"/>
    </xf>
    <xf numFmtId="0" fontId="27" fillId="0" borderId="0" xfId="0" applyFont="1" applyAlignment="1">
      <alignment horizontal="center"/>
    </xf>
    <xf numFmtId="0" fontId="25" fillId="5" borderId="11" xfId="0" applyFont="1" applyFill="1" applyBorder="1" applyAlignment="1">
      <alignment horizontal="left"/>
    </xf>
    <xf numFmtId="0" fontId="25" fillId="5" borderId="18" xfId="0" applyFont="1" applyFill="1" applyBorder="1" applyAlignment="1">
      <alignment horizontal="left"/>
    </xf>
    <xf numFmtId="168" fontId="25" fillId="0" borderId="13" xfId="0" applyNumberFormat="1" applyFont="1" applyBorder="1" applyAlignment="1" applyProtection="1">
      <alignment horizontal="center" vertical="center"/>
      <protection locked="0"/>
    </xf>
    <xf numFmtId="177" fontId="25" fillId="0" borderId="10" xfId="0" applyNumberFormat="1" applyFont="1" applyBorder="1" applyAlignment="1">
      <alignment horizontal="center" vertical="center"/>
    </xf>
    <xf numFmtId="177" fontId="25" fillId="0" borderId="10" xfId="0" applyNumberFormat="1" applyFont="1" applyFill="1" applyBorder="1" applyAlignment="1">
      <alignment horizontal="center" vertical="center"/>
    </xf>
    <xf numFmtId="179" fontId="25" fillId="0" borderId="10" xfId="0" applyNumberFormat="1" applyFont="1" applyBorder="1" applyAlignment="1">
      <alignment horizontal="center" vertical="center"/>
    </xf>
    <xf numFmtId="0" fontId="28" fillId="26" borderId="0" xfId="0" applyFont="1" applyFill="1" applyAlignment="1">
      <alignment horizontal="left"/>
    </xf>
    <xf numFmtId="0" fontId="21" fillId="0" borderId="0" xfId="0" applyFont="1" applyAlignment="1">
      <alignment horizontal="left" vertical="center"/>
    </xf>
    <xf numFmtId="0" fontId="26" fillId="0" borderId="0" xfId="0" applyFont="1" applyAlignment="1">
      <alignment horizontal="center"/>
    </xf>
    <xf numFmtId="0" fontId="26" fillId="0" borderId="0" xfId="0" applyFont="1" applyAlignment="1">
      <alignment horizontal="right" vertical="center" textRotation="90"/>
    </xf>
    <xf numFmtId="0" fontId="28" fillId="8" borderId="0" xfId="0" applyFont="1" applyFill="1" applyAlignment="1">
      <alignment horizontal="left"/>
    </xf>
    <xf numFmtId="0" fontId="25" fillId="0" borderId="21" xfId="0" applyFont="1" applyFill="1" applyBorder="1" applyAlignment="1">
      <alignment horizontal="center" vertical="center"/>
    </xf>
    <xf numFmtId="0" fontId="25" fillId="0" borderId="22"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15" xfId="0" applyFont="1" applyFill="1" applyBorder="1" applyAlignment="1">
      <alignment horizontal="center" vertical="center"/>
    </xf>
    <xf numFmtId="0" fontId="26" fillId="0" borderId="0" xfId="0" applyFont="1" applyBorder="1" applyAlignment="1">
      <alignment horizontal="left" vertical="center" textRotation="180"/>
    </xf>
    <xf numFmtId="0" fontId="21" fillId="0" borderId="0" xfId="0" applyFont="1" applyAlignment="1">
      <alignment horizontal="left" vertical="top"/>
    </xf>
    <xf numFmtId="0" fontId="21" fillId="0" borderId="0" xfId="0" applyFont="1" applyAlignment="1">
      <alignment horizontal="left"/>
    </xf>
    <xf numFmtId="0" fontId="20" fillId="0" borderId="0" xfId="0" applyFont="1" applyAlignment="1">
      <alignment horizontal="center"/>
    </xf>
    <xf numFmtId="0" fontId="22" fillId="0" borderId="0" xfId="44" applyFont="1" applyAlignment="1" applyProtection="1">
      <alignment horizontal="center"/>
      <protection/>
    </xf>
    <xf numFmtId="0" fontId="23" fillId="0" borderId="0" xfId="0" applyFont="1" applyFill="1" applyAlignment="1">
      <alignment horizontal="left"/>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Normalny_Arkusz1" xfId="53"/>
    <cellStyle name="Obliczenia" xfId="54"/>
    <cellStyle name="Percent" xfId="55"/>
    <cellStyle name="Suma" xfId="56"/>
    <cellStyle name="Tekst objaśnienia" xfId="57"/>
    <cellStyle name="Tekst ostrzeżenia" xfId="58"/>
    <cellStyle name="Tytuł" xfId="59"/>
    <cellStyle name="Uwaga" xfId="60"/>
    <cellStyle name="Currency" xfId="61"/>
    <cellStyle name="Currency [0]" xfId="62"/>
    <cellStyle name="Złe" xfId="63"/>
  </cellStyles>
  <dxfs count="10">
    <dxf>
      <fill>
        <patternFill>
          <bgColor indexed="46"/>
        </patternFill>
      </fill>
    </dxf>
    <dxf>
      <fill>
        <patternFill>
          <bgColor indexed="10"/>
        </patternFill>
      </fill>
    </dxf>
    <dxf>
      <fill>
        <patternFill>
          <bgColor indexed="47"/>
        </patternFill>
      </fill>
    </dxf>
    <dxf>
      <fill>
        <patternFill>
          <bgColor indexed="10"/>
        </patternFill>
      </fill>
    </dxf>
    <dxf>
      <fill>
        <patternFill>
          <bgColor indexed="50"/>
        </patternFill>
      </fill>
    </dxf>
    <dxf>
      <fill>
        <patternFill>
          <bgColor indexed="45"/>
        </patternFill>
      </fill>
    </dxf>
    <dxf>
      <fill>
        <patternFill>
          <bgColor indexed="47"/>
        </patternFill>
      </fill>
    </dxf>
    <dxf>
      <fill>
        <patternFill>
          <bgColor indexed="45"/>
        </patternFill>
      </fill>
    </dxf>
    <dxf>
      <fill>
        <patternFill>
          <bgColor indexed="47"/>
        </patternFill>
      </fill>
    </dxf>
    <dxf>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osmo.prv.pl/" TargetMode="External" /><Relationship Id="rId2" Type="http://schemas.openxmlformats.org/officeDocument/2006/relationships/hyperlink" Target="http://www.cosmo.prv.pl/"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H16"/>
  <sheetViews>
    <sheetView tabSelected="1" zoomScale="50" zoomScaleNormal="50" zoomScalePageLayoutView="0" workbookViewId="0" topLeftCell="A1">
      <selection activeCell="G4" sqref="G4"/>
    </sheetView>
  </sheetViews>
  <sheetFormatPr defaultColWidth="9.140625" defaultRowHeight="12.75"/>
  <cols>
    <col min="1" max="1" width="6.421875" style="73" customWidth="1"/>
    <col min="2" max="2" width="20.8515625" style="76" customWidth="1"/>
    <col min="3" max="3" width="119.140625" style="76" customWidth="1"/>
    <col min="4" max="4" width="30.421875" style="75" customWidth="1"/>
    <col min="5" max="5" width="15.7109375" style="73" customWidth="1"/>
    <col min="6" max="6" width="13.8515625" style="73" customWidth="1"/>
    <col min="7" max="7" width="18.8515625" style="73" customWidth="1"/>
    <col min="9" max="16384" width="9.140625" style="74" customWidth="1"/>
  </cols>
  <sheetData>
    <row r="1" spans="1:7" ht="30" customHeight="1">
      <c r="A1" s="91" t="s">
        <v>83</v>
      </c>
      <c r="B1" s="92"/>
      <c r="C1" s="77"/>
      <c r="D1" s="78"/>
      <c r="E1" s="96" t="s">
        <v>82</v>
      </c>
      <c r="F1" s="97"/>
      <c r="G1" s="98"/>
    </row>
    <row r="2" spans="1:8" ht="62.25" customHeight="1">
      <c r="A2" s="83" t="s">
        <v>1</v>
      </c>
      <c r="B2" s="83" t="s">
        <v>81</v>
      </c>
      <c r="C2" s="83" t="s">
        <v>79</v>
      </c>
      <c r="D2" s="83" t="s">
        <v>87</v>
      </c>
      <c r="E2" s="83" t="s">
        <v>0</v>
      </c>
      <c r="F2" s="83" t="s">
        <v>77</v>
      </c>
      <c r="G2" s="83" t="s">
        <v>76</v>
      </c>
      <c r="H2" s="74"/>
    </row>
    <row r="3" spans="1:8" ht="12.75">
      <c r="A3" s="83">
        <v>1</v>
      </c>
      <c r="B3" s="83">
        <v>2</v>
      </c>
      <c r="C3" s="83">
        <v>3</v>
      </c>
      <c r="D3" s="83">
        <v>4</v>
      </c>
      <c r="E3" s="83">
        <v>5</v>
      </c>
      <c r="F3" s="83">
        <v>6</v>
      </c>
      <c r="G3" s="83" t="s">
        <v>80</v>
      </c>
      <c r="H3" s="74"/>
    </row>
    <row r="4" spans="1:8" ht="358.5" customHeight="1">
      <c r="A4" s="84">
        <v>1</v>
      </c>
      <c r="B4" s="85" t="s">
        <v>84</v>
      </c>
      <c r="C4" s="86" t="s">
        <v>85</v>
      </c>
      <c r="D4" s="89"/>
      <c r="E4" s="79">
        <v>1</v>
      </c>
      <c r="F4" s="81"/>
      <c r="G4" s="81">
        <f>E4*F4</f>
        <v>0</v>
      </c>
      <c r="H4" s="74"/>
    </row>
    <row r="5" spans="1:8" ht="377.25" customHeight="1">
      <c r="A5" s="84">
        <v>2</v>
      </c>
      <c r="B5" s="87" t="s">
        <v>86</v>
      </c>
      <c r="C5" s="88" t="s">
        <v>88</v>
      </c>
      <c r="D5" s="90"/>
      <c r="E5" s="80">
        <v>1</v>
      </c>
      <c r="F5" s="90"/>
      <c r="G5" s="81">
        <f>E5*F5</f>
        <v>0</v>
      </c>
      <c r="H5" s="74"/>
    </row>
    <row r="6" spans="1:8" ht="37.5" customHeight="1">
      <c r="A6" s="93" t="s">
        <v>78</v>
      </c>
      <c r="B6" s="94"/>
      <c r="C6" s="94"/>
      <c r="D6" s="94"/>
      <c r="E6" s="94"/>
      <c r="F6" s="95"/>
      <c r="G6" s="82">
        <f>SUM(G4:G5)</f>
        <v>0</v>
      </c>
      <c r="H6" s="74"/>
    </row>
    <row r="7" ht="12">
      <c r="H7" s="74"/>
    </row>
    <row r="8" ht="12">
      <c r="H8" s="74"/>
    </row>
    <row r="9" ht="12">
      <c r="H9" s="74"/>
    </row>
    <row r="10" ht="12">
      <c r="H10" s="74"/>
    </row>
    <row r="11" ht="12">
      <c r="H11" s="74"/>
    </row>
    <row r="12" ht="12">
      <c r="H12" s="74"/>
    </row>
    <row r="13" ht="12">
      <c r="H13" s="74"/>
    </row>
    <row r="14" ht="12">
      <c r="H14" s="74"/>
    </row>
    <row r="15" ht="12">
      <c r="H15" s="74"/>
    </row>
    <row r="16" ht="12">
      <c r="H16" s="74"/>
    </row>
  </sheetData>
  <sheetProtection/>
  <mergeCells count="3">
    <mergeCell ref="A1:B1"/>
    <mergeCell ref="A6:F6"/>
    <mergeCell ref="E1:G1"/>
  </mergeCells>
  <printOptions/>
  <pageMargins left="0.2362204724409449" right="0.2362204724409449" top="0.3937007874015748" bottom="0.3937007874015748" header="0" footer="0"/>
  <pageSetup fitToHeight="1" fitToWidth="1" horizontalDpi="600" verticalDpi="600" orientation="landscape" paperSize="9" scale="61" r:id="rId1"/>
</worksheet>
</file>

<file path=xl/worksheets/sheet2.xml><?xml version="1.0" encoding="utf-8"?>
<worksheet xmlns="http://schemas.openxmlformats.org/spreadsheetml/2006/main" xmlns:r="http://schemas.openxmlformats.org/officeDocument/2006/relationships">
  <dimension ref="A1:Q85"/>
  <sheetViews>
    <sheetView zoomScale="130" zoomScaleNormal="130" zoomScalePageLayoutView="0" workbookViewId="0" topLeftCell="A1">
      <selection activeCell="F59" sqref="F59"/>
    </sheetView>
  </sheetViews>
  <sheetFormatPr defaultColWidth="9.140625" defaultRowHeight="12.75"/>
  <sheetData>
    <row r="1" spans="2:15" ht="12.75">
      <c r="B1" s="1"/>
      <c r="C1" s="1"/>
      <c r="D1" s="1"/>
      <c r="E1" s="1"/>
      <c r="F1" s="1"/>
      <c r="G1" s="1"/>
      <c r="H1" s="1"/>
      <c r="I1" s="1"/>
      <c r="J1" s="1"/>
      <c r="K1" s="1"/>
      <c r="L1" s="1"/>
      <c r="M1" s="1"/>
      <c r="N1" s="1"/>
      <c r="O1" s="1"/>
    </row>
    <row r="2" spans="2:15" ht="12.75">
      <c r="B2" s="1"/>
      <c r="C2" s="1"/>
      <c r="D2" s="1"/>
      <c r="E2" s="1"/>
      <c r="F2" s="1"/>
      <c r="G2" s="1"/>
      <c r="H2" s="1"/>
      <c r="I2" s="1"/>
      <c r="J2" s="1"/>
      <c r="K2" s="1"/>
      <c r="L2" s="1"/>
      <c r="M2" s="1"/>
      <c r="N2" s="1"/>
      <c r="O2" s="1"/>
    </row>
    <row r="3" spans="2:16" ht="20.25">
      <c r="B3" s="136" t="s">
        <v>2</v>
      </c>
      <c r="C3" s="136"/>
      <c r="D3" s="136"/>
      <c r="E3" s="136"/>
      <c r="F3" s="136"/>
      <c r="G3" s="136"/>
      <c r="H3" s="136"/>
      <c r="I3" s="136"/>
      <c r="J3" s="136"/>
      <c r="K3" s="136"/>
      <c r="L3" s="136"/>
      <c r="M3" s="136"/>
      <c r="N3" s="136"/>
      <c r="O3" s="136"/>
      <c r="P3" s="136"/>
    </row>
    <row r="4" spans="2:16" ht="12.75">
      <c r="B4" s="104" t="s">
        <v>3</v>
      </c>
      <c r="C4" s="104"/>
      <c r="D4" s="104"/>
      <c r="E4" s="104"/>
      <c r="F4" s="104"/>
      <c r="G4" s="104"/>
      <c r="H4" s="104"/>
      <c r="I4" s="104"/>
      <c r="J4" s="104"/>
      <c r="K4" s="104"/>
      <c r="L4" s="104"/>
      <c r="M4" s="104"/>
      <c r="N4" s="104"/>
      <c r="O4" s="104"/>
      <c r="P4" s="104"/>
    </row>
    <row r="5" spans="2:16" ht="12.75">
      <c r="B5" s="137" t="s">
        <v>4</v>
      </c>
      <c r="C5" s="137"/>
      <c r="D5" s="137"/>
      <c r="E5" s="137"/>
      <c r="F5" s="137"/>
      <c r="G5" s="137"/>
      <c r="H5" s="137"/>
      <c r="I5" s="137"/>
      <c r="J5" s="137"/>
      <c r="K5" s="137"/>
      <c r="L5" s="137"/>
      <c r="M5" s="137"/>
      <c r="N5" s="137"/>
      <c r="O5" s="137"/>
      <c r="P5" s="137"/>
    </row>
    <row r="6" spans="2:16" ht="20.25">
      <c r="B6" s="2"/>
      <c r="C6" s="2"/>
      <c r="D6" s="2"/>
      <c r="E6" s="2"/>
      <c r="F6" s="2"/>
      <c r="G6" s="2"/>
      <c r="H6" s="2"/>
      <c r="I6" s="2"/>
      <c r="J6" s="2"/>
      <c r="K6" s="2"/>
      <c r="L6" s="2"/>
      <c r="M6" s="2"/>
      <c r="N6" s="2"/>
      <c r="O6" s="2"/>
      <c r="P6" s="2"/>
    </row>
    <row r="7" spans="2:15" ht="12.75">
      <c r="B7" s="1"/>
      <c r="C7" s="1"/>
      <c r="D7" s="1"/>
      <c r="E7" s="1"/>
      <c r="F7" s="1"/>
      <c r="G7" s="1"/>
      <c r="H7" s="1"/>
      <c r="I7" s="1"/>
      <c r="J7" s="1"/>
      <c r="K7" s="1"/>
      <c r="L7" s="1"/>
      <c r="M7" s="1"/>
      <c r="N7" s="1"/>
      <c r="O7" s="1"/>
    </row>
    <row r="8" spans="2:15" ht="12.75">
      <c r="B8" s="138" t="s">
        <v>5</v>
      </c>
      <c r="C8" s="138"/>
      <c r="D8" s="138"/>
      <c r="E8" s="138"/>
      <c r="F8" s="3">
        <v>70</v>
      </c>
      <c r="G8" s="1"/>
      <c r="H8" s="1"/>
      <c r="I8" s="1"/>
      <c r="J8" s="1"/>
      <c r="K8" s="1"/>
      <c r="L8" s="1"/>
      <c r="M8" s="1"/>
      <c r="N8" s="1"/>
      <c r="O8" s="1"/>
    </row>
    <row r="9" spans="2:15" ht="12.75">
      <c r="B9" s="138" t="s">
        <v>6</v>
      </c>
      <c r="C9" s="138"/>
      <c r="D9" s="138"/>
      <c r="E9" s="138"/>
      <c r="F9" s="3">
        <v>420</v>
      </c>
      <c r="G9" s="1"/>
      <c r="H9" s="1"/>
      <c r="I9" s="1"/>
      <c r="J9" s="1"/>
      <c r="K9" s="1"/>
      <c r="L9" s="1"/>
      <c r="M9" s="1"/>
      <c r="N9" s="1"/>
      <c r="O9" s="1"/>
    </row>
    <row r="10" spans="2:15" ht="12.75">
      <c r="B10" s="135" t="s">
        <v>7</v>
      </c>
      <c r="C10" s="135"/>
      <c r="D10" s="135"/>
      <c r="E10" s="135"/>
      <c r="F10" s="4">
        <f>f/d</f>
        <v>6</v>
      </c>
      <c r="G10" s="1"/>
      <c r="H10" s="1"/>
      <c r="I10" s="1"/>
      <c r="J10" s="1"/>
      <c r="K10" s="1"/>
      <c r="L10" s="1"/>
      <c r="M10" s="1"/>
      <c r="N10" s="1"/>
      <c r="O10" s="1"/>
    </row>
    <row r="11" spans="2:15" ht="12.75">
      <c r="B11" s="125" t="s">
        <v>8</v>
      </c>
      <c r="C11" s="125"/>
      <c r="D11" s="125"/>
      <c r="E11" s="125"/>
      <c r="F11" s="5">
        <f>120/d</f>
        <v>1.7142857142857142</v>
      </c>
      <c r="G11" s="1"/>
      <c r="H11" s="1"/>
      <c r="I11" s="1"/>
      <c r="J11" s="1"/>
      <c r="K11" s="1"/>
      <c r="L11" s="1"/>
      <c r="M11" s="1"/>
      <c r="N11" s="1"/>
      <c r="O11" s="1"/>
    </row>
    <row r="12" spans="2:15" ht="12.75">
      <c r="B12" s="134" t="s">
        <v>9</v>
      </c>
      <c r="C12" s="134"/>
      <c r="D12" s="134"/>
      <c r="E12" s="134"/>
      <c r="F12" s="6">
        <f>LN(d)*2.403</f>
        <v>10.20913406664461</v>
      </c>
      <c r="G12" s="115" t="s">
        <v>10</v>
      </c>
      <c r="H12" s="115"/>
      <c r="I12" s="1"/>
      <c r="J12" s="1"/>
      <c r="K12" s="1"/>
      <c r="L12" s="1"/>
      <c r="M12" s="1"/>
      <c r="N12" s="1"/>
      <c r="O12" s="1"/>
    </row>
    <row r="13" spans="2:15" ht="12.75">
      <c r="B13" s="134"/>
      <c r="C13" s="134"/>
      <c r="D13" s="134"/>
      <c r="E13" s="134"/>
      <c r="F13" s="6">
        <f>LN(d)*2.753</f>
        <v>11.696107401361887</v>
      </c>
      <c r="G13" s="115" t="s">
        <v>11</v>
      </c>
      <c r="H13" s="115"/>
      <c r="I13" s="1"/>
      <c r="J13" s="1"/>
      <c r="K13" s="1"/>
      <c r="L13" s="1"/>
      <c r="M13" s="1"/>
      <c r="N13" s="1"/>
      <c r="O13" s="1"/>
    </row>
    <row r="14" spans="2:15" ht="12.75">
      <c r="B14" s="125" t="s">
        <v>12</v>
      </c>
      <c r="C14" s="125"/>
      <c r="D14" s="125"/>
      <c r="E14" s="125"/>
      <c r="F14" s="7">
        <f>(3.141592*((d/2)*(d/2)))/(3.141592*((J16/2)*(J16/2)))</f>
        <v>196</v>
      </c>
      <c r="G14" s="115" t="s">
        <v>13</v>
      </c>
      <c r="H14" s="115"/>
      <c r="I14" s="8">
        <f>J16</f>
        <v>5</v>
      </c>
      <c r="J14" s="1"/>
      <c r="K14" s="1"/>
      <c r="L14" s="1"/>
      <c r="M14" s="1"/>
      <c r="N14" s="1"/>
      <c r="O14" s="1"/>
    </row>
    <row r="15" spans="2:15" ht="12.75">
      <c r="B15" s="125" t="s">
        <v>14</v>
      </c>
      <c r="C15" s="125"/>
      <c r="D15" s="125"/>
      <c r="E15" s="125"/>
      <c r="F15" s="9">
        <f>d*2</f>
        <v>140</v>
      </c>
      <c r="G15" s="10" t="s">
        <v>15</v>
      </c>
      <c r="H15" s="11">
        <f>f/F15</f>
        <v>3</v>
      </c>
      <c r="I15" s="1"/>
      <c r="J15" s="1"/>
      <c r="K15" s="1"/>
      <c r="L15" s="1"/>
      <c r="M15" s="1"/>
      <c r="N15" s="1"/>
      <c r="O15" s="1"/>
    </row>
    <row r="16" spans="2:15" ht="12.75">
      <c r="B16" s="125" t="s">
        <v>16</v>
      </c>
      <c r="C16" s="125"/>
      <c r="D16" s="125"/>
      <c r="E16" s="125"/>
      <c r="F16" s="9">
        <f>(d/J16)</f>
        <v>14</v>
      </c>
      <c r="G16" s="10" t="s">
        <v>15</v>
      </c>
      <c r="H16" s="11">
        <f>f/(d/J16)</f>
        <v>30</v>
      </c>
      <c r="I16" s="10" t="s">
        <v>17</v>
      </c>
      <c r="J16" s="12">
        <v>5</v>
      </c>
      <c r="K16" s="1"/>
      <c r="L16" s="1"/>
      <c r="M16" s="1"/>
      <c r="N16" s="1"/>
      <c r="O16" s="1"/>
    </row>
    <row r="17" spans="1:15" ht="12.75">
      <c r="A17" s="13"/>
      <c r="B17" s="14"/>
      <c r="C17" s="14"/>
      <c r="D17" s="14"/>
      <c r="E17" s="14"/>
      <c r="F17" s="1"/>
      <c r="G17" s="1"/>
      <c r="H17" s="1"/>
      <c r="I17" s="1"/>
      <c r="J17" s="1"/>
      <c r="K17" s="1"/>
      <c r="L17" s="1"/>
      <c r="M17" s="1"/>
      <c r="N17" s="1"/>
      <c r="O17" s="1"/>
    </row>
    <row r="18" spans="2:15" ht="12.75">
      <c r="B18" s="14"/>
      <c r="C18" s="14"/>
      <c r="D18" s="14"/>
      <c r="E18" s="14"/>
      <c r="F18" s="1"/>
      <c r="G18" s="1"/>
      <c r="H18" s="1"/>
      <c r="I18" s="1"/>
      <c r="J18" s="1"/>
      <c r="K18" s="1"/>
      <c r="L18" s="1"/>
      <c r="M18" s="1"/>
      <c r="N18" s="1"/>
      <c r="O18" s="1"/>
    </row>
    <row r="19" spans="1:15" ht="12.75">
      <c r="A19" s="15"/>
      <c r="B19" s="14"/>
      <c r="C19" s="117" t="s">
        <v>18</v>
      </c>
      <c r="D19" s="117"/>
      <c r="E19" s="117"/>
      <c r="F19" s="117"/>
      <c r="G19" s="117"/>
      <c r="H19" s="117"/>
      <c r="I19" s="117"/>
      <c r="J19" s="117"/>
      <c r="K19" s="117"/>
      <c r="L19" s="117"/>
      <c r="M19" s="117"/>
      <c r="N19" s="117"/>
      <c r="O19" s="117"/>
    </row>
    <row r="20" spans="2:15" ht="12.75">
      <c r="B20" s="1"/>
      <c r="C20" s="1"/>
      <c r="D20" s="1"/>
      <c r="E20" s="1"/>
      <c r="F20" s="1"/>
      <c r="G20" s="1"/>
      <c r="H20" s="1"/>
      <c r="I20" s="1"/>
      <c r="J20" s="1"/>
      <c r="K20" s="1"/>
      <c r="L20" s="1"/>
      <c r="M20" s="1"/>
      <c r="N20" s="1"/>
      <c r="O20" s="1"/>
    </row>
    <row r="21" spans="2:15" ht="12.75">
      <c r="B21" s="1"/>
      <c r="C21" s="126" t="s">
        <v>19</v>
      </c>
      <c r="D21" s="126"/>
      <c r="E21" s="126"/>
      <c r="F21" s="126"/>
      <c r="G21" s="126"/>
      <c r="H21" s="126"/>
      <c r="I21" s="126"/>
      <c r="J21" s="126"/>
      <c r="K21" s="126"/>
      <c r="L21" s="126"/>
      <c r="M21" s="126"/>
      <c r="N21" s="126"/>
      <c r="O21" s="126"/>
    </row>
    <row r="22" spans="2:15" ht="12.75">
      <c r="B22" s="16"/>
      <c r="C22" s="17">
        <v>30</v>
      </c>
      <c r="D22" s="17">
        <v>35</v>
      </c>
      <c r="E22" s="17">
        <v>40</v>
      </c>
      <c r="F22" s="17">
        <v>45</v>
      </c>
      <c r="G22" s="17">
        <v>50</v>
      </c>
      <c r="H22" s="17">
        <v>55</v>
      </c>
      <c r="I22" s="17">
        <v>60</v>
      </c>
      <c r="J22" s="17">
        <v>65</v>
      </c>
      <c r="K22" s="17">
        <v>70</v>
      </c>
      <c r="L22" s="17">
        <v>75</v>
      </c>
      <c r="M22" s="17">
        <v>80</v>
      </c>
      <c r="N22" s="17">
        <v>85</v>
      </c>
      <c r="O22" s="17">
        <v>90</v>
      </c>
    </row>
    <row r="23" spans="1:17" ht="12.75">
      <c r="A23" s="127" t="s">
        <v>20</v>
      </c>
      <c r="B23" s="18">
        <v>5</v>
      </c>
      <c r="C23" s="19">
        <f>(B23/f*C22)*60</f>
        <v>21.428571428571427</v>
      </c>
      <c r="D23" s="19">
        <f>(B23/f*D22)*60</f>
        <v>24.999999999999996</v>
      </c>
      <c r="E23" s="19">
        <f>(B23/f*E22)*60</f>
        <v>28.57142857142857</v>
      </c>
      <c r="F23" s="19">
        <f>(B23/f*F22)*60</f>
        <v>32.14285714285714</v>
      </c>
      <c r="G23" s="19">
        <f>(B23/f*G22)*60</f>
        <v>35.714285714285715</v>
      </c>
      <c r="H23" s="19">
        <f>(B23/f*H22)*60</f>
        <v>39.285714285714285</v>
      </c>
      <c r="I23" s="19">
        <f>(B23/f*I22)*60</f>
        <v>42.857142857142854</v>
      </c>
      <c r="J23" s="19">
        <f>(B23/f*J22)*60</f>
        <v>46.42857142857142</v>
      </c>
      <c r="K23" s="19">
        <f>(B23/f*K22)*60</f>
        <v>49.99999999999999</v>
      </c>
      <c r="L23" s="19">
        <f>(B23/f*L22)*60</f>
        <v>53.57142857142857</v>
      </c>
      <c r="M23" s="19">
        <f>(B23/f*M22)*60</f>
        <v>57.14285714285714</v>
      </c>
      <c r="N23" s="19">
        <f>(B23/f*N22)*60</f>
        <v>60.71428571428571</v>
      </c>
      <c r="O23" s="20">
        <f>(B23/f*O22)*60</f>
        <v>64.28571428571428</v>
      </c>
      <c r="P23" s="21">
        <f>f/B23</f>
        <v>84</v>
      </c>
      <c r="Q23" s="133" t="s">
        <v>21</v>
      </c>
    </row>
    <row r="24" spans="1:17" ht="12.75">
      <c r="A24" s="127"/>
      <c r="B24" s="18">
        <v>10</v>
      </c>
      <c r="C24" s="19">
        <f>f_10/f*C22*60</f>
        <v>42.857142857142854</v>
      </c>
      <c r="D24" s="19">
        <f aca="true" t="shared" si="0" ref="D24:O24">f_10/f*D22*60</f>
        <v>49.99999999999999</v>
      </c>
      <c r="E24" s="19">
        <f t="shared" si="0"/>
        <v>57.14285714285714</v>
      </c>
      <c r="F24" s="19">
        <f t="shared" si="0"/>
        <v>64.28571428571428</v>
      </c>
      <c r="G24" s="19">
        <f t="shared" si="0"/>
        <v>71.42857142857143</v>
      </c>
      <c r="H24" s="19">
        <f t="shared" si="0"/>
        <v>78.57142857142857</v>
      </c>
      <c r="I24" s="22">
        <f t="shared" si="0"/>
        <v>85.71428571428571</v>
      </c>
      <c r="J24" s="23">
        <f t="shared" si="0"/>
        <v>92.85714285714285</v>
      </c>
      <c r="K24" s="19">
        <f t="shared" si="0"/>
        <v>99.99999999999999</v>
      </c>
      <c r="L24" s="19">
        <f t="shared" si="0"/>
        <v>107.14285714285714</v>
      </c>
      <c r="M24" s="19">
        <f t="shared" si="0"/>
        <v>114.28571428571428</v>
      </c>
      <c r="N24" s="19">
        <f t="shared" si="0"/>
        <v>121.42857142857142</v>
      </c>
      <c r="O24" s="20">
        <f t="shared" si="0"/>
        <v>128.57142857142856</v>
      </c>
      <c r="P24" s="21">
        <f aca="true" t="shared" si="1" ref="P24:P33">f/B24</f>
        <v>42</v>
      </c>
      <c r="Q24" s="133"/>
    </row>
    <row r="25" spans="1:17" ht="12.75">
      <c r="A25" s="127"/>
      <c r="B25" s="18">
        <v>15</v>
      </c>
      <c r="C25" s="19">
        <f>f_15/f*C22*60</f>
        <v>64.28571428571428</v>
      </c>
      <c r="D25" s="19">
        <f aca="true" t="shared" si="2" ref="D25:O25">f_15/f*D22*60</f>
        <v>75</v>
      </c>
      <c r="E25" s="19">
        <f t="shared" si="2"/>
        <v>85.71428571428571</v>
      </c>
      <c r="F25" s="19">
        <f t="shared" si="2"/>
        <v>96.42857142857142</v>
      </c>
      <c r="G25" s="19">
        <f t="shared" si="2"/>
        <v>107.14285714285714</v>
      </c>
      <c r="H25" s="19">
        <f t="shared" si="2"/>
        <v>117.85714285714285</v>
      </c>
      <c r="I25" s="19">
        <f t="shared" si="2"/>
        <v>128.57142857142856</v>
      </c>
      <c r="J25" s="19">
        <f t="shared" si="2"/>
        <v>139.28571428571428</v>
      </c>
      <c r="K25" s="19">
        <f t="shared" si="2"/>
        <v>150</v>
      </c>
      <c r="L25" s="19">
        <f t="shared" si="2"/>
        <v>160.7142857142857</v>
      </c>
      <c r="M25" s="19">
        <f t="shared" si="2"/>
        <v>171.42857142857142</v>
      </c>
      <c r="N25" s="19">
        <f t="shared" si="2"/>
        <v>182.14285714285714</v>
      </c>
      <c r="O25" s="20">
        <f t="shared" si="2"/>
        <v>192.85714285714283</v>
      </c>
      <c r="P25" s="21">
        <f t="shared" si="1"/>
        <v>28</v>
      </c>
      <c r="Q25" s="133"/>
    </row>
    <row r="26" spans="1:17" ht="12.75">
      <c r="A26" s="127"/>
      <c r="B26" s="18">
        <v>20</v>
      </c>
      <c r="C26" s="19">
        <f>f_20/f*C22*60</f>
        <v>85.71428571428571</v>
      </c>
      <c r="D26" s="19">
        <f aca="true" t="shared" si="3" ref="D26:O26">f_20/f*D22*60</f>
        <v>99.99999999999999</v>
      </c>
      <c r="E26" s="19">
        <f t="shared" si="3"/>
        <v>114.28571428571428</v>
      </c>
      <c r="F26" s="19">
        <f t="shared" si="3"/>
        <v>128.57142857142856</v>
      </c>
      <c r="G26" s="19">
        <f t="shared" si="3"/>
        <v>142.85714285714286</v>
      </c>
      <c r="H26" s="23">
        <f t="shared" si="3"/>
        <v>157.14285714285714</v>
      </c>
      <c r="I26" s="19">
        <f t="shared" si="3"/>
        <v>171.42857142857142</v>
      </c>
      <c r="J26" s="19">
        <f t="shared" si="3"/>
        <v>185.7142857142857</v>
      </c>
      <c r="K26" s="19">
        <f t="shared" si="3"/>
        <v>199.99999999999997</v>
      </c>
      <c r="L26" s="19">
        <f t="shared" si="3"/>
        <v>214.28571428571428</v>
      </c>
      <c r="M26" s="19">
        <f t="shared" si="3"/>
        <v>228.57142857142856</v>
      </c>
      <c r="N26" s="19">
        <f t="shared" si="3"/>
        <v>242.85714285714283</v>
      </c>
      <c r="O26" s="20">
        <f t="shared" si="3"/>
        <v>257.1428571428571</v>
      </c>
      <c r="P26" s="21">
        <f t="shared" si="1"/>
        <v>21</v>
      </c>
      <c r="Q26" s="133"/>
    </row>
    <row r="27" spans="1:17" ht="12.75">
      <c r="A27" s="127"/>
      <c r="B27" s="18">
        <v>25</v>
      </c>
      <c r="C27" s="19">
        <f>f_25/f*C22*60</f>
        <v>107.14285714285714</v>
      </c>
      <c r="D27" s="19">
        <f aca="true" t="shared" si="4" ref="D27:O27">f_25/f*D22*60</f>
        <v>124.99999999999999</v>
      </c>
      <c r="E27" s="19">
        <f t="shared" si="4"/>
        <v>142.85714285714286</v>
      </c>
      <c r="F27" s="22">
        <f t="shared" si="4"/>
        <v>160.7142857142857</v>
      </c>
      <c r="G27" s="19">
        <f t="shared" si="4"/>
        <v>178.57142857142856</v>
      </c>
      <c r="H27" s="19">
        <f t="shared" si="4"/>
        <v>196.42857142857142</v>
      </c>
      <c r="I27" s="23">
        <f t="shared" si="4"/>
        <v>214.28571428571428</v>
      </c>
      <c r="J27" s="19">
        <f t="shared" si="4"/>
        <v>232.1428571428571</v>
      </c>
      <c r="K27" s="19">
        <f t="shared" si="4"/>
        <v>249.99999999999997</v>
      </c>
      <c r="L27" s="19">
        <f t="shared" si="4"/>
        <v>267.8571428571429</v>
      </c>
      <c r="M27" s="19">
        <f t="shared" si="4"/>
        <v>285.7142857142857</v>
      </c>
      <c r="N27" s="19">
        <f t="shared" si="4"/>
        <v>303.57142857142856</v>
      </c>
      <c r="O27" s="20">
        <f t="shared" si="4"/>
        <v>321.4285714285714</v>
      </c>
      <c r="P27" s="21">
        <f t="shared" si="1"/>
        <v>16.8</v>
      </c>
      <c r="Q27" s="133"/>
    </row>
    <row r="28" spans="1:17" ht="12.75">
      <c r="A28" s="127"/>
      <c r="B28" s="18">
        <v>30</v>
      </c>
      <c r="C28" s="19">
        <f>f_30/f*C22*60</f>
        <v>128.57142857142856</v>
      </c>
      <c r="D28" s="19">
        <f aca="true" t="shared" si="5" ref="D28:O28">f_30/f*D22*60</f>
        <v>150</v>
      </c>
      <c r="E28" s="19">
        <f t="shared" si="5"/>
        <v>171.42857142857142</v>
      </c>
      <c r="F28" s="19">
        <f t="shared" si="5"/>
        <v>192.85714285714283</v>
      </c>
      <c r="G28" s="22">
        <f>f_30/f*G22*60</f>
        <v>214.28571428571428</v>
      </c>
      <c r="H28" s="19">
        <f t="shared" si="5"/>
        <v>235.7142857142857</v>
      </c>
      <c r="I28" s="19">
        <f t="shared" si="5"/>
        <v>257.1428571428571</v>
      </c>
      <c r="J28" s="19">
        <f t="shared" si="5"/>
        <v>278.57142857142856</v>
      </c>
      <c r="K28" s="19">
        <f t="shared" si="5"/>
        <v>300</v>
      </c>
      <c r="L28" s="19">
        <f t="shared" si="5"/>
        <v>321.4285714285714</v>
      </c>
      <c r="M28" s="19">
        <f t="shared" si="5"/>
        <v>342.85714285714283</v>
      </c>
      <c r="N28" s="19">
        <f t="shared" si="5"/>
        <v>364.2857142857143</v>
      </c>
      <c r="O28" s="20">
        <f t="shared" si="5"/>
        <v>385.71428571428567</v>
      </c>
      <c r="P28" s="21">
        <f t="shared" si="1"/>
        <v>14</v>
      </c>
      <c r="Q28" s="133"/>
    </row>
    <row r="29" spans="1:17" ht="12.75">
      <c r="A29" s="127"/>
      <c r="B29" s="18">
        <v>35</v>
      </c>
      <c r="C29" s="19">
        <f>f_35/f*C22*60</f>
        <v>150</v>
      </c>
      <c r="D29" s="19">
        <f aca="true" t="shared" si="6" ref="D29:O29">f_35/f*D22*60</f>
        <v>175</v>
      </c>
      <c r="E29" s="19">
        <f t="shared" si="6"/>
        <v>199.99999999999997</v>
      </c>
      <c r="F29" s="19">
        <f t="shared" si="6"/>
        <v>225</v>
      </c>
      <c r="G29" s="19">
        <f t="shared" si="6"/>
        <v>249.99999999999997</v>
      </c>
      <c r="H29" s="19">
        <f t="shared" si="6"/>
        <v>275</v>
      </c>
      <c r="I29" s="19">
        <f t="shared" si="6"/>
        <v>300</v>
      </c>
      <c r="J29" s="19">
        <f t="shared" si="6"/>
        <v>324.99999999999994</v>
      </c>
      <c r="K29" s="19">
        <f t="shared" si="6"/>
        <v>350</v>
      </c>
      <c r="L29" s="19">
        <f t="shared" si="6"/>
        <v>375</v>
      </c>
      <c r="M29" s="19">
        <f t="shared" si="6"/>
        <v>399.99999999999994</v>
      </c>
      <c r="N29" s="19">
        <f t="shared" si="6"/>
        <v>425</v>
      </c>
      <c r="O29" s="20">
        <f t="shared" si="6"/>
        <v>450</v>
      </c>
      <c r="P29" s="21">
        <f t="shared" si="1"/>
        <v>12</v>
      </c>
      <c r="Q29" s="133"/>
    </row>
    <row r="30" spans="1:17" ht="12.75">
      <c r="A30" s="127"/>
      <c r="B30" s="18">
        <v>40</v>
      </c>
      <c r="C30" s="19">
        <f>f_40/f*C22*60</f>
        <v>171.42857142857142</v>
      </c>
      <c r="D30" s="19">
        <f aca="true" t="shared" si="7" ref="D30:O30">f_40/f*D22*60</f>
        <v>199.99999999999997</v>
      </c>
      <c r="E30" s="19">
        <f t="shared" si="7"/>
        <v>228.57142857142856</v>
      </c>
      <c r="F30" s="19">
        <f t="shared" si="7"/>
        <v>257.1428571428571</v>
      </c>
      <c r="G30" s="19">
        <f t="shared" si="7"/>
        <v>285.7142857142857</v>
      </c>
      <c r="H30" s="19">
        <f t="shared" si="7"/>
        <v>314.2857142857143</v>
      </c>
      <c r="I30" s="19">
        <f t="shared" si="7"/>
        <v>342.85714285714283</v>
      </c>
      <c r="J30" s="19">
        <f t="shared" si="7"/>
        <v>371.4285714285714</v>
      </c>
      <c r="K30" s="19">
        <f t="shared" si="7"/>
        <v>399.99999999999994</v>
      </c>
      <c r="L30" s="19">
        <f t="shared" si="7"/>
        <v>428.57142857142856</v>
      </c>
      <c r="M30" s="19">
        <f t="shared" si="7"/>
        <v>457.1428571428571</v>
      </c>
      <c r="N30" s="19">
        <f t="shared" si="7"/>
        <v>485.71428571428567</v>
      </c>
      <c r="O30" s="20">
        <f t="shared" si="7"/>
        <v>514.2857142857142</v>
      </c>
      <c r="P30" s="21">
        <f t="shared" si="1"/>
        <v>10.5</v>
      </c>
      <c r="Q30" s="133"/>
    </row>
    <row r="31" spans="1:17" ht="12.75">
      <c r="A31" s="127"/>
      <c r="B31" s="18">
        <v>45</v>
      </c>
      <c r="C31" s="19">
        <f>f_45/f*C22*60</f>
        <v>192.85714285714283</v>
      </c>
      <c r="D31" s="19">
        <f aca="true" t="shared" si="8" ref="D31:O31">f_45/f*D22*60</f>
        <v>225</v>
      </c>
      <c r="E31" s="19">
        <f t="shared" si="8"/>
        <v>257.1428571428571</v>
      </c>
      <c r="F31" s="19">
        <f t="shared" si="8"/>
        <v>289.2857142857143</v>
      </c>
      <c r="G31" s="19">
        <f t="shared" si="8"/>
        <v>321.4285714285714</v>
      </c>
      <c r="H31" s="19">
        <f t="shared" si="8"/>
        <v>353.57142857142856</v>
      </c>
      <c r="I31" s="19">
        <f t="shared" si="8"/>
        <v>385.71428571428567</v>
      </c>
      <c r="J31" s="19">
        <f t="shared" si="8"/>
        <v>417.85714285714283</v>
      </c>
      <c r="K31" s="19">
        <f t="shared" si="8"/>
        <v>450</v>
      </c>
      <c r="L31" s="19">
        <f t="shared" si="8"/>
        <v>482.1428571428571</v>
      </c>
      <c r="M31" s="19">
        <f t="shared" si="8"/>
        <v>514.2857142857142</v>
      </c>
      <c r="N31" s="19">
        <f t="shared" si="8"/>
        <v>546.4285714285713</v>
      </c>
      <c r="O31" s="20">
        <f t="shared" si="8"/>
        <v>578.5714285714286</v>
      </c>
      <c r="P31" s="21">
        <f t="shared" si="1"/>
        <v>9.333333333333334</v>
      </c>
      <c r="Q31" s="133"/>
    </row>
    <row r="32" spans="1:17" ht="12.75">
      <c r="A32" s="127"/>
      <c r="B32" s="18">
        <v>50</v>
      </c>
      <c r="C32" s="19">
        <f>f_50/f*C22*60</f>
        <v>214.28571428571428</v>
      </c>
      <c r="D32" s="19">
        <f aca="true" t="shared" si="9" ref="D32:O32">f_50/f*D22*60</f>
        <v>249.99999999999997</v>
      </c>
      <c r="E32" s="19">
        <f t="shared" si="9"/>
        <v>285.7142857142857</v>
      </c>
      <c r="F32" s="19">
        <f t="shared" si="9"/>
        <v>321.4285714285714</v>
      </c>
      <c r="G32" s="19">
        <f t="shared" si="9"/>
        <v>357.1428571428571</v>
      </c>
      <c r="H32" s="19">
        <f t="shared" si="9"/>
        <v>392.85714285714283</v>
      </c>
      <c r="I32" s="19">
        <f t="shared" si="9"/>
        <v>428.57142857142856</v>
      </c>
      <c r="J32" s="19">
        <f t="shared" si="9"/>
        <v>464.2857142857142</v>
      </c>
      <c r="K32" s="19">
        <f t="shared" si="9"/>
        <v>499.99999999999994</v>
      </c>
      <c r="L32" s="19">
        <f t="shared" si="9"/>
        <v>535.7142857142858</v>
      </c>
      <c r="M32" s="19">
        <f t="shared" si="9"/>
        <v>571.4285714285714</v>
      </c>
      <c r="N32" s="19">
        <f t="shared" si="9"/>
        <v>607.1428571428571</v>
      </c>
      <c r="O32" s="20">
        <f t="shared" si="9"/>
        <v>642.8571428571428</v>
      </c>
      <c r="P32" s="21">
        <f t="shared" si="1"/>
        <v>8.4</v>
      </c>
      <c r="Q32" s="133"/>
    </row>
    <row r="33" spans="1:17" ht="12.75">
      <c r="A33" s="127"/>
      <c r="B33" s="18">
        <v>55</v>
      </c>
      <c r="C33" s="19">
        <f>f_55/f*C22*60</f>
        <v>235.71428571428572</v>
      </c>
      <c r="D33" s="19">
        <f aca="true" t="shared" si="10" ref="D33:O33">f_55/f*D22*60</f>
        <v>275.00000000000006</v>
      </c>
      <c r="E33" s="19">
        <f t="shared" si="10"/>
        <v>314.2857142857143</v>
      </c>
      <c r="F33" s="19">
        <f t="shared" si="10"/>
        <v>353.5714285714286</v>
      </c>
      <c r="G33" s="19">
        <f t="shared" si="10"/>
        <v>392.8571428571429</v>
      </c>
      <c r="H33" s="19">
        <f t="shared" si="10"/>
        <v>432.14285714285717</v>
      </c>
      <c r="I33" s="19">
        <f t="shared" si="10"/>
        <v>471.42857142857144</v>
      </c>
      <c r="J33" s="19">
        <f t="shared" si="10"/>
        <v>510.7142857142858</v>
      </c>
      <c r="K33" s="19">
        <f t="shared" si="10"/>
        <v>550.0000000000001</v>
      </c>
      <c r="L33" s="19">
        <f t="shared" si="10"/>
        <v>589.2857142857142</v>
      </c>
      <c r="M33" s="19">
        <f t="shared" si="10"/>
        <v>628.5714285714286</v>
      </c>
      <c r="N33" s="19">
        <f t="shared" si="10"/>
        <v>667.8571428571429</v>
      </c>
      <c r="O33" s="20">
        <f t="shared" si="10"/>
        <v>707.1428571428572</v>
      </c>
      <c r="P33" s="21">
        <f t="shared" si="1"/>
        <v>7.636363636363637</v>
      </c>
      <c r="Q33" s="133"/>
    </row>
    <row r="34" spans="2:16" ht="12.75">
      <c r="B34" s="1"/>
      <c r="C34" s="1"/>
      <c r="D34" s="1"/>
      <c r="E34" s="1"/>
      <c r="F34" s="1"/>
      <c r="G34" s="1"/>
      <c r="H34" s="1"/>
      <c r="I34" s="1"/>
      <c r="J34" s="1"/>
      <c r="K34" s="1"/>
      <c r="L34" s="1"/>
      <c r="M34" s="1"/>
      <c r="N34" s="1"/>
      <c r="O34" s="1"/>
      <c r="P34" s="24"/>
    </row>
    <row r="35" spans="2:15" ht="12.75">
      <c r="B35" s="1"/>
      <c r="C35" s="1"/>
      <c r="D35" s="25"/>
      <c r="E35" s="10" t="s">
        <v>22</v>
      </c>
      <c r="F35" s="26"/>
      <c r="G35" s="26"/>
      <c r="H35" s="1"/>
      <c r="I35" s="1"/>
      <c r="J35" s="1"/>
      <c r="K35" s="1"/>
      <c r="L35" s="27"/>
      <c r="M35" s="1"/>
      <c r="N35" s="1"/>
      <c r="O35" s="1"/>
    </row>
    <row r="36" spans="2:15" ht="12.75">
      <c r="B36" s="1"/>
      <c r="C36" s="1"/>
      <c r="D36" s="28"/>
      <c r="E36" s="10" t="s">
        <v>23</v>
      </c>
      <c r="F36" s="26"/>
      <c r="G36" s="26"/>
      <c r="H36" s="1"/>
      <c r="I36" s="1"/>
      <c r="J36" s="1"/>
      <c r="K36" s="1"/>
      <c r="L36" s="27"/>
      <c r="M36" s="1"/>
      <c r="N36" s="1"/>
      <c r="O36" s="1"/>
    </row>
    <row r="37" spans="2:15" ht="12.75">
      <c r="B37" s="1"/>
      <c r="C37" s="1"/>
      <c r="D37" s="29"/>
      <c r="E37" s="10" t="s">
        <v>24</v>
      </c>
      <c r="F37" s="26"/>
      <c r="G37" s="26"/>
      <c r="H37" s="1"/>
      <c r="I37" s="1"/>
      <c r="J37" s="1"/>
      <c r="K37" s="1"/>
      <c r="L37" s="27"/>
      <c r="M37" s="1"/>
      <c r="N37" s="1"/>
      <c r="O37" s="1"/>
    </row>
    <row r="38" spans="2:15" ht="12.75">
      <c r="B38" s="1"/>
      <c r="C38" s="1"/>
      <c r="D38" s="30"/>
      <c r="E38" s="10" t="s">
        <v>25</v>
      </c>
      <c r="F38" s="26"/>
      <c r="G38" s="26"/>
      <c r="H38" s="1"/>
      <c r="I38" s="1"/>
      <c r="J38" s="1"/>
      <c r="K38" s="1"/>
      <c r="L38" s="27"/>
      <c r="M38" s="1"/>
      <c r="N38" s="1"/>
      <c r="O38" s="1"/>
    </row>
    <row r="39" spans="2:15" ht="12.75">
      <c r="B39" s="1"/>
      <c r="C39" s="1"/>
      <c r="D39" s="16"/>
      <c r="E39" s="1"/>
      <c r="F39" s="1"/>
      <c r="G39" s="1"/>
      <c r="H39" s="1"/>
      <c r="I39" s="1"/>
      <c r="J39" s="1"/>
      <c r="K39" s="1"/>
      <c r="L39" s="27"/>
      <c r="M39" s="1"/>
      <c r="N39" s="1"/>
      <c r="O39" s="1"/>
    </row>
    <row r="40" spans="2:15" ht="12.75">
      <c r="B40" s="1"/>
      <c r="C40" s="1"/>
      <c r="D40" s="1"/>
      <c r="E40" s="1"/>
      <c r="F40" s="1"/>
      <c r="G40" s="1"/>
      <c r="H40" s="1"/>
      <c r="I40" s="1"/>
      <c r="J40" s="1"/>
      <c r="K40" s="1"/>
      <c r="L40" s="1"/>
      <c r="M40" s="1"/>
      <c r="N40" s="1"/>
      <c r="O40" s="1"/>
    </row>
    <row r="41" spans="2:15" ht="12.75">
      <c r="B41" s="1"/>
      <c r="C41" s="117" t="s">
        <v>26</v>
      </c>
      <c r="D41" s="117"/>
      <c r="E41" s="117"/>
      <c r="F41" s="117"/>
      <c r="G41" s="117"/>
      <c r="H41" s="117"/>
      <c r="I41" s="117"/>
      <c r="J41" s="117"/>
      <c r="K41" s="117"/>
      <c r="L41" s="117"/>
      <c r="M41" s="117"/>
      <c r="N41" s="117"/>
      <c r="O41" s="117"/>
    </row>
    <row r="42" spans="2:15" ht="12.75">
      <c r="B42" s="1"/>
      <c r="C42" s="1"/>
      <c r="D42" s="1"/>
      <c r="E42" s="1"/>
      <c r="F42" s="1"/>
      <c r="G42" s="1"/>
      <c r="H42" s="1"/>
      <c r="I42" s="1"/>
      <c r="J42" s="1"/>
      <c r="K42" s="1"/>
      <c r="L42" s="1"/>
      <c r="M42" s="1"/>
      <c r="N42" s="1"/>
      <c r="O42" s="1"/>
    </row>
    <row r="43" spans="1:14" ht="12.75">
      <c r="A43" s="128" t="s">
        <v>27</v>
      </c>
      <c r="B43" s="128"/>
      <c r="C43" s="128"/>
      <c r="D43" s="31">
        <v>36</v>
      </c>
      <c r="E43" s="31">
        <v>24</v>
      </c>
      <c r="F43" s="129" t="s">
        <v>28</v>
      </c>
      <c r="G43" s="129"/>
      <c r="H43" s="129"/>
      <c r="I43" s="130"/>
      <c r="J43" s="32"/>
      <c r="K43" s="33">
        <f aca="true" t="shared" si="11" ref="K43:L47">ATAN(D43/2/f)*57.2957*2</f>
        <v>4.908056537815201</v>
      </c>
      <c r="L43" s="33">
        <f t="shared" si="11"/>
        <v>3.2731495408644817</v>
      </c>
      <c r="M43" s="129" t="s">
        <v>28</v>
      </c>
      <c r="N43" s="130"/>
    </row>
    <row r="44" spans="1:14" ht="12.75">
      <c r="A44" s="128" t="s">
        <v>29</v>
      </c>
      <c r="B44" s="128"/>
      <c r="C44" s="128"/>
      <c r="D44" s="31">
        <v>60</v>
      </c>
      <c r="E44" s="31">
        <v>60</v>
      </c>
      <c r="F44" s="131"/>
      <c r="G44" s="131"/>
      <c r="H44" s="131"/>
      <c r="I44" s="132"/>
      <c r="J44" s="32"/>
      <c r="K44" s="33">
        <f t="shared" si="11"/>
        <v>8.171222220197116</v>
      </c>
      <c r="L44" s="33">
        <f t="shared" si="11"/>
        <v>8.171222220197116</v>
      </c>
      <c r="M44" s="131"/>
      <c r="N44" s="132"/>
    </row>
    <row r="45" spans="1:14" ht="12.75">
      <c r="A45" s="34" t="s">
        <v>30</v>
      </c>
      <c r="B45" s="34"/>
      <c r="C45" s="34"/>
      <c r="D45" s="31">
        <v>90</v>
      </c>
      <c r="E45" s="31">
        <v>60</v>
      </c>
      <c r="F45" s="131"/>
      <c r="G45" s="131"/>
      <c r="H45" s="131"/>
      <c r="I45" s="132"/>
      <c r="J45" s="32"/>
      <c r="K45" s="33">
        <f t="shared" si="11"/>
        <v>12.230990158806161</v>
      </c>
      <c r="L45" s="33">
        <f t="shared" si="11"/>
        <v>8.171222220197116</v>
      </c>
      <c r="M45" s="131"/>
      <c r="N45" s="132"/>
    </row>
    <row r="46" spans="1:14" ht="12.75">
      <c r="A46" s="124" t="s">
        <v>31</v>
      </c>
      <c r="B46" s="124"/>
      <c r="C46" s="124"/>
      <c r="D46" s="35">
        <v>7.84</v>
      </c>
      <c r="E46" s="35">
        <v>6.4</v>
      </c>
      <c r="F46" s="36">
        <v>510</v>
      </c>
      <c r="G46" s="36">
        <v>492</v>
      </c>
      <c r="H46" s="31">
        <f>D46/F46*1000</f>
        <v>15.372549019607842</v>
      </c>
      <c r="I46" s="31">
        <f>E46/G46*1000</f>
        <v>13.008130081300813</v>
      </c>
      <c r="J46" s="32"/>
      <c r="K46" s="33">
        <f t="shared" si="11"/>
        <v>1.0694886792723006</v>
      </c>
      <c r="L46" s="33">
        <f t="shared" si="11"/>
        <v>0.8730604399083223</v>
      </c>
      <c r="M46" s="37">
        <f>K46/F46*3600</f>
        <v>7.549331853686828</v>
      </c>
      <c r="N46" s="37">
        <f>L46/G46*3600</f>
        <v>6.388247121280407</v>
      </c>
    </row>
    <row r="47" spans="1:14" ht="12.75">
      <c r="A47" s="116" t="s">
        <v>32</v>
      </c>
      <c r="B47" s="116"/>
      <c r="C47" s="116"/>
      <c r="D47" s="38">
        <v>4.46</v>
      </c>
      <c r="E47" s="38">
        <v>3.8</v>
      </c>
      <c r="F47" s="39">
        <v>640</v>
      </c>
      <c r="G47" s="39">
        <v>480</v>
      </c>
      <c r="H47" s="31">
        <v>5.6</v>
      </c>
      <c r="I47" s="31">
        <v>5.6</v>
      </c>
      <c r="J47" s="32"/>
      <c r="K47" s="33">
        <f t="shared" si="11"/>
        <v>0.6084200493777049</v>
      </c>
      <c r="L47" s="33">
        <f t="shared" si="11"/>
        <v>0.5183861304540468</v>
      </c>
      <c r="M47" s="37">
        <f>K47/F47*3600</f>
        <v>3.42236277774959</v>
      </c>
      <c r="N47" s="37">
        <f>L47/G47*3600</f>
        <v>3.8878959784053513</v>
      </c>
    </row>
    <row r="48" spans="1:15" ht="32.25">
      <c r="A48" s="40"/>
      <c r="B48" s="1"/>
      <c r="C48" s="1"/>
      <c r="D48" s="41" t="s">
        <v>33</v>
      </c>
      <c r="E48" s="41" t="s">
        <v>34</v>
      </c>
      <c r="F48" s="42" t="s">
        <v>35</v>
      </c>
      <c r="G48" s="42" t="s">
        <v>36</v>
      </c>
      <c r="H48" s="42" t="s">
        <v>37</v>
      </c>
      <c r="I48" s="42" t="s">
        <v>38</v>
      </c>
      <c r="J48" s="41"/>
      <c r="K48" s="41" t="s">
        <v>39</v>
      </c>
      <c r="L48" s="41" t="s">
        <v>40</v>
      </c>
      <c r="M48" s="41" t="s">
        <v>41</v>
      </c>
      <c r="N48" s="41" t="s">
        <v>42</v>
      </c>
      <c r="O48" s="1"/>
    </row>
    <row r="49" spans="2:15" ht="12.75">
      <c r="B49" s="1"/>
      <c r="C49" s="1"/>
      <c r="D49" s="1"/>
      <c r="E49" s="1"/>
      <c r="F49" s="1"/>
      <c r="G49" s="1"/>
      <c r="H49" s="1"/>
      <c r="I49" s="1"/>
      <c r="J49" s="1"/>
      <c r="K49" s="1"/>
      <c r="L49" s="1"/>
      <c r="M49" s="1"/>
      <c r="N49" s="1"/>
      <c r="O49" s="1"/>
    </row>
    <row r="50" spans="2:15" ht="12.75">
      <c r="B50" s="1"/>
      <c r="C50" s="1"/>
      <c r="D50" s="43"/>
      <c r="E50" s="10" t="s">
        <v>43</v>
      </c>
      <c r="F50" s="1"/>
      <c r="G50" s="1"/>
      <c r="H50" s="1"/>
      <c r="I50" s="1"/>
      <c r="J50" s="1"/>
      <c r="K50" s="1"/>
      <c r="L50" s="1"/>
      <c r="M50" s="1"/>
      <c r="N50" s="1"/>
      <c r="O50" s="1"/>
    </row>
    <row r="51" spans="2:15" ht="12.75">
      <c r="B51" s="1"/>
      <c r="C51" s="1"/>
      <c r="D51" s="16"/>
      <c r="E51" s="10"/>
      <c r="F51" s="1"/>
      <c r="G51" s="1"/>
      <c r="H51" s="1"/>
      <c r="I51" s="1"/>
      <c r="J51" s="1"/>
      <c r="K51" s="1"/>
      <c r="L51" s="1"/>
      <c r="M51" s="1"/>
      <c r="N51" s="1"/>
      <c r="O51" s="1"/>
    </row>
    <row r="52" spans="2:15" ht="12.75">
      <c r="B52" s="1"/>
      <c r="C52" s="1"/>
      <c r="D52" s="1"/>
      <c r="E52" s="1"/>
      <c r="F52" s="1"/>
      <c r="G52" s="1"/>
      <c r="H52" s="1"/>
      <c r="I52" s="1"/>
      <c r="J52" s="1"/>
      <c r="K52" s="1"/>
      <c r="L52" s="1"/>
      <c r="M52" s="1"/>
      <c r="N52" s="1"/>
      <c r="O52" s="1"/>
    </row>
    <row r="53" spans="2:15" ht="12.75">
      <c r="B53" s="1"/>
      <c r="C53" s="117" t="s">
        <v>44</v>
      </c>
      <c r="D53" s="117"/>
      <c r="E53" s="117"/>
      <c r="F53" s="117"/>
      <c r="G53" s="117"/>
      <c r="H53" s="117"/>
      <c r="I53" s="117"/>
      <c r="J53" s="117"/>
      <c r="K53" s="117"/>
      <c r="L53" s="117"/>
      <c r="M53" s="117"/>
      <c r="N53" s="117"/>
      <c r="O53" s="117"/>
    </row>
    <row r="54" spans="2:15" ht="12.75">
      <c r="B54" s="1"/>
      <c r="C54" s="44"/>
      <c r="D54" s="44"/>
      <c r="E54" s="44"/>
      <c r="F54" s="44"/>
      <c r="G54" s="44"/>
      <c r="H54" s="44"/>
      <c r="I54" s="44"/>
      <c r="J54" s="44"/>
      <c r="K54" s="44"/>
      <c r="L54" s="44"/>
      <c r="M54" s="44"/>
      <c r="N54" s="44"/>
      <c r="O54" s="44"/>
    </row>
    <row r="55" spans="2:15" ht="12.75">
      <c r="B55" s="1"/>
      <c r="C55" s="44"/>
      <c r="D55" s="44"/>
      <c r="E55" s="44"/>
      <c r="F55" s="44"/>
      <c r="G55" s="118" t="s">
        <v>45</v>
      </c>
      <c r="H55" s="119"/>
      <c r="I55" s="45">
        <f>((f/uzywanyokular)*obaparatu)/d</f>
        <v>11.538461538461538</v>
      </c>
      <c r="K55" s="44"/>
      <c r="L55" s="44"/>
      <c r="M55" s="44"/>
      <c r="N55" s="44"/>
      <c r="O55" s="44"/>
    </row>
    <row r="56" spans="2:15" ht="12.75">
      <c r="B56" s="1"/>
      <c r="C56" s="1"/>
      <c r="D56" s="1"/>
      <c r="E56" s="1"/>
      <c r="F56" s="16"/>
      <c r="G56" s="118" t="s">
        <v>46</v>
      </c>
      <c r="H56" s="119"/>
      <c r="I56" s="46">
        <f>(f/uzywanyokular)*obaparatu</f>
        <v>807.6923076923076</v>
      </c>
      <c r="K56" s="1"/>
      <c r="L56" s="1"/>
      <c r="M56" s="1"/>
      <c r="N56" s="1"/>
      <c r="O56" s="1"/>
    </row>
    <row r="57" spans="1:15" ht="12.75">
      <c r="A57" s="105" t="s">
        <v>47</v>
      </c>
      <c r="B57" s="105"/>
      <c r="C57" s="106"/>
      <c r="D57" s="47">
        <v>1800</v>
      </c>
      <c r="E57" s="48">
        <f>(f*D57)/206265</f>
        <v>3.665187986328267</v>
      </c>
      <c r="F57" s="49">
        <f>((f/d)*(f/d))/(czuloscfilmu*80)</f>
        <v>0.000375</v>
      </c>
      <c r="G57" s="50">
        <f>(((f/uzywanyokular)*obaparatu)*D57)/206265</f>
        <v>7.048438435246667</v>
      </c>
      <c r="H57" s="51">
        <f>G57*(180/36)</f>
        <v>35.24219217623334</v>
      </c>
      <c r="I57" s="52">
        <f>((((f/uzywanyokular)*obaparatu)/d)*(((f/uzywanyokular)*obaparatu)/d))/(czuloscfilmu*80)</f>
        <v>0.0013868343195266271</v>
      </c>
      <c r="J57" s="1"/>
      <c r="K57" s="1"/>
      <c r="L57" s="1"/>
      <c r="M57" s="1"/>
      <c r="N57" s="1"/>
      <c r="O57" s="1"/>
    </row>
    <row r="58" spans="1:15" ht="12.75">
      <c r="A58" s="105" t="s">
        <v>48</v>
      </c>
      <c r="B58" s="105"/>
      <c r="C58" s="106"/>
      <c r="D58" s="47">
        <v>11</v>
      </c>
      <c r="E58" s="48">
        <f aca="true" t="shared" si="12" ref="E58:E69">(f*D58)/206265</f>
        <v>0.02239837102756163</v>
      </c>
      <c r="F58" s="49">
        <f>((f/d)*(f/d))/(czuloscfilmu*60)</f>
        <v>0.0005</v>
      </c>
      <c r="G58" s="53">
        <f>(((f/uzywanyokular)*obaparatu)*D58)/206265</f>
        <v>0.04307379043761851</v>
      </c>
      <c r="H58" s="54">
        <f aca="true" t="shared" si="13" ref="H58:H71">G58*(180/36)</f>
        <v>0.21536895218809254</v>
      </c>
      <c r="I58" s="49">
        <f>((((f/uzywanyokular)*obaparatu)/d)*(((f/uzywanyokular)*obaparatu)/d))/(czuloscfilmu*60)</f>
        <v>0.0018491124260355029</v>
      </c>
      <c r="J58" s="1"/>
      <c r="K58" s="1"/>
      <c r="L58" s="1"/>
      <c r="M58" s="1"/>
      <c r="N58" s="1"/>
      <c r="O58" s="1"/>
    </row>
    <row r="59" spans="1:15" ht="12.75">
      <c r="A59" s="105" t="s">
        <v>49</v>
      </c>
      <c r="B59" s="105"/>
      <c r="C59" s="106"/>
      <c r="D59" s="47">
        <v>60.2</v>
      </c>
      <c r="E59" s="48">
        <f t="shared" si="12"/>
        <v>0.12258017598720093</v>
      </c>
      <c r="F59" s="49">
        <f>((f/d)*(f/d))/(czuloscfilmu*400)</f>
        <v>7.5E-05</v>
      </c>
      <c r="G59" s="53">
        <f>(((f/uzywanyokular)*obaparatu)*D59)/206265</f>
        <v>0.2357311076676941</v>
      </c>
      <c r="H59" s="54">
        <f t="shared" si="13"/>
        <v>1.1786555383384705</v>
      </c>
      <c r="I59" s="49">
        <f>((((f/uzywanyokular)*obaparatu)/d)*(((f/uzywanyokular)*obaparatu)/d))/(czuloscfilmu*400)</f>
        <v>0.00027736686390532545</v>
      </c>
      <c r="J59" s="1"/>
      <c r="K59" s="55" t="s">
        <v>50</v>
      </c>
      <c r="L59" s="1"/>
      <c r="M59" s="1"/>
      <c r="N59" s="1"/>
      <c r="O59" s="1"/>
    </row>
    <row r="60" spans="1:15" ht="12.75">
      <c r="A60" s="56" t="s">
        <v>51</v>
      </c>
      <c r="B60" s="56"/>
      <c r="C60" s="57"/>
      <c r="D60" s="120">
        <v>1800</v>
      </c>
      <c r="E60" s="121">
        <f t="shared" si="12"/>
        <v>3.665187986328267</v>
      </c>
      <c r="F60" s="49">
        <f>((f/d)*(f/d))/(czuloscfilmu*200)</f>
        <v>0.00015</v>
      </c>
      <c r="G60" s="122">
        <f>(((f/uzywanyokular)*obaparatu)*D60)/206265</f>
        <v>7.048438435246667</v>
      </c>
      <c r="H60" s="123">
        <f t="shared" si="13"/>
        <v>35.24219217623334</v>
      </c>
      <c r="I60" s="49">
        <f>((((f/uzywanyokular)*obaparatu)/d)*(((f/uzywanyokular)*obaparatu)/d))/(czuloscfilmu*200)</f>
        <v>0.0005547337278106509</v>
      </c>
      <c r="J60" s="1"/>
      <c r="K60" s="58"/>
      <c r="L60" s="115" t="s">
        <v>52</v>
      </c>
      <c r="M60" s="115"/>
      <c r="N60" s="115"/>
      <c r="O60" s="115"/>
    </row>
    <row r="61" spans="1:15" ht="12.75">
      <c r="A61" s="56" t="s">
        <v>53</v>
      </c>
      <c r="B61" s="56"/>
      <c r="C61" s="57"/>
      <c r="D61" s="120"/>
      <c r="E61" s="121"/>
      <c r="F61" s="49">
        <f>((f/d)*(f/d))/(czuloscfilmu*80)</f>
        <v>0.000375</v>
      </c>
      <c r="G61" s="122"/>
      <c r="H61" s="123"/>
      <c r="I61" s="49">
        <f>((((f/uzywanyokular)*obaparatu)/d)*(((f/uzywanyokular)*obaparatu)/d))/(czuloscfilmu*80)</f>
        <v>0.0013868343195266271</v>
      </c>
      <c r="J61" s="1"/>
      <c r="K61" s="59"/>
      <c r="L61" s="115" t="s">
        <v>54</v>
      </c>
      <c r="M61" s="115"/>
      <c r="N61" s="115"/>
      <c r="O61" s="115"/>
    </row>
    <row r="62" spans="1:16" ht="12.75">
      <c r="A62" s="56" t="s">
        <v>55</v>
      </c>
      <c r="B62" s="56"/>
      <c r="C62" s="57"/>
      <c r="D62" s="120"/>
      <c r="E62" s="121"/>
      <c r="F62" s="49">
        <f>((f/d)*(f/d))/(czuloscfilmu*40)</f>
        <v>0.00075</v>
      </c>
      <c r="G62" s="122"/>
      <c r="H62" s="123"/>
      <c r="I62" s="49">
        <f>((((f/uzywanyokular)*obaparatu)/d)*(((f/uzywanyokular)*obaparatu)/d))/(czuloscfilmu*40)</f>
        <v>0.0027736686390532543</v>
      </c>
      <c r="J62" s="1"/>
      <c r="K62" s="60"/>
      <c r="L62" s="115" t="s">
        <v>56</v>
      </c>
      <c r="M62" s="115"/>
      <c r="N62" s="115"/>
      <c r="O62" s="115"/>
      <c r="P62" s="115"/>
    </row>
    <row r="63" spans="1:15" ht="12.75">
      <c r="A63" s="56" t="s">
        <v>57</v>
      </c>
      <c r="B63" s="56"/>
      <c r="C63" s="57"/>
      <c r="D63" s="120"/>
      <c r="E63" s="121"/>
      <c r="F63" s="49">
        <f>((f/d)*(f/d))/(czuloscfilmu*20)</f>
        <v>0.0015</v>
      </c>
      <c r="G63" s="122"/>
      <c r="H63" s="123"/>
      <c r="I63" s="49">
        <f>((((f/uzywanyokular)*obaparatu)/d)*(((f/uzywanyokular)*obaparatu)/d))/(czuloscfilmu*20)</f>
        <v>0.005547337278106509</v>
      </c>
      <c r="J63" s="1"/>
      <c r="K63" s="1"/>
      <c r="L63" s="1"/>
      <c r="M63" s="1"/>
      <c r="N63" s="1"/>
      <c r="O63" s="1"/>
    </row>
    <row r="64" spans="1:15" ht="12.75">
      <c r="A64" s="105" t="s">
        <v>58</v>
      </c>
      <c r="B64" s="105"/>
      <c r="C64" s="106"/>
      <c r="D64" s="47">
        <v>17.9</v>
      </c>
      <c r="E64" s="48">
        <f t="shared" si="12"/>
        <v>0.03644825830848665</v>
      </c>
      <c r="F64" s="49">
        <f>((f/d)*(f/d))/(czuloscfilmu*60)</f>
        <v>0.0005</v>
      </c>
      <c r="G64" s="53">
        <f aca="true" t="shared" si="14" ref="G64:G69">(((f/uzywanyokular)*obaparatu)*D64)/206265</f>
        <v>0.0700928044393974</v>
      </c>
      <c r="H64" s="54">
        <f t="shared" si="13"/>
        <v>0.350464022196987</v>
      </c>
      <c r="I64" s="49">
        <f>((((f/uzywanyokular)*obaparatu)/d)*(((f/uzywanyokular)*obaparatu)/d))/(czuloscfilmu*60)</f>
        <v>0.0018491124260355029</v>
      </c>
      <c r="J64" s="1"/>
      <c r="K64" s="1"/>
      <c r="L64" s="1"/>
      <c r="M64" s="1"/>
      <c r="N64" s="1"/>
      <c r="O64" s="1"/>
    </row>
    <row r="65" spans="1:15" ht="12.75">
      <c r="A65" s="107" t="s">
        <v>59</v>
      </c>
      <c r="B65" s="107"/>
      <c r="C65" s="108"/>
      <c r="D65" s="61">
        <v>46</v>
      </c>
      <c r="E65" s="62">
        <f t="shared" si="12"/>
        <v>0.09366591520616682</v>
      </c>
      <c r="F65" s="63">
        <f>((f/d)*(f/d))/(czuloscfilmu*30)</f>
        <v>0.001</v>
      </c>
      <c r="G65" s="64">
        <f t="shared" si="14"/>
        <v>0.18012676001185926</v>
      </c>
      <c r="H65" s="65">
        <f t="shared" si="13"/>
        <v>0.9006338000592963</v>
      </c>
      <c r="I65" s="63">
        <f>((((f/uzywanyokular)*obaparatu)/d)*(((f/uzywanyokular)*obaparatu)/d))/(czuloscfilmu*30)</f>
        <v>0.0036982248520710057</v>
      </c>
      <c r="J65" s="1"/>
      <c r="K65" s="1"/>
      <c r="L65" s="1"/>
      <c r="M65" s="1"/>
      <c r="N65" s="1"/>
      <c r="O65" s="1"/>
    </row>
    <row r="66" spans="1:15" ht="12.75">
      <c r="A66" s="105" t="s">
        <v>60</v>
      </c>
      <c r="B66" s="105"/>
      <c r="C66" s="106"/>
      <c r="D66" s="47">
        <v>19</v>
      </c>
      <c r="E66" s="48">
        <f t="shared" si="12"/>
        <v>0.038688095411242816</v>
      </c>
      <c r="F66" s="109">
        <f>((f/d)*(f/d))/(czuloscfilmu*10)</f>
        <v>0.003</v>
      </c>
      <c r="G66" s="53">
        <f t="shared" si="14"/>
        <v>0.07440018348315926</v>
      </c>
      <c r="H66" s="54">
        <f t="shared" si="13"/>
        <v>0.3720009174157963</v>
      </c>
      <c r="I66" s="109">
        <f>((((f/uzywanyokular)*obaparatu)/d)*(((f/uzywanyokular)*obaparatu)/d))/(czuloscfilmu*10)</f>
        <v>0.011094674556213017</v>
      </c>
      <c r="J66" s="1"/>
      <c r="K66" s="1"/>
      <c r="L66" s="1"/>
      <c r="M66" s="1"/>
      <c r="N66" s="1"/>
      <c r="O66" s="1"/>
    </row>
    <row r="67" spans="1:15" ht="12.75">
      <c r="A67" s="56" t="s">
        <v>61</v>
      </c>
      <c r="B67" s="56"/>
      <c r="C67" s="57"/>
      <c r="D67" s="47">
        <v>42</v>
      </c>
      <c r="E67" s="48">
        <f t="shared" si="12"/>
        <v>0.08552105301432623</v>
      </c>
      <c r="F67" s="110"/>
      <c r="G67" s="53">
        <f t="shared" si="14"/>
        <v>0.1644635634890889</v>
      </c>
      <c r="H67" s="54">
        <f t="shared" si="13"/>
        <v>0.8223178174454444</v>
      </c>
      <c r="I67" s="110"/>
      <c r="J67" s="1"/>
      <c r="K67" s="1"/>
      <c r="L67" s="1"/>
      <c r="M67" s="1"/>
      <c r="N67" s="1"/>
      <c r="O67" s="1"/>
    </row>
    <row r="68" spans="1:15" ht="12.75">
      <c r="A68" s="105" t="s">
        <v>62</v>
      </c>
      <c r="B68" s="105"/>
      <c r="C68" s="106"/>
      <c r="D68" s="47">
        <v>4</v>
      </c>
      <c r="E68" s="48">
        <f t="shared" si="12"/>
        <v>0.008144862191840593</v>
      </c>
      <c r="F68" s="111" t="s">
        <v>63</v>
      </c>
      <c r="G68" s="53">
        <f t="shared" si="14"/>
        <v>0.01566319652277037</v>
      </c>
      <c r="H68" s="54">
        <f t="shared" si="13"/>
        <v>0.07831598261385185</v>
      </c>
      <c r="I68" s="114" t="s">
        <v>63</v>
      </c>
      <c r="J68" s="1"/>
      <c r="K68" s="1"/>
      <c r="L68" s="1"/>
      <c r="M68" s="66"/>
      <c r="N68" s="1"/>
      <c r="O68" s="1"/>
    </row>
    <row r="69" spans="1:15" ht="12.75">
      <c r="A69" s="105" t="s">
        <v>64</v>
      </c>
      <c r="B69" s="105"/>
      <c r="C69" s="106"/>
      <c r="D69" s="47">
        <v>2.1</v>
      </c>
      <c r="E69" s="48">
        <f t="shared" si="12"/>
        <v>0.004276052650716311</v>
      </c>
      <c r="F69" s="112"/>
      <c r="G69" s="53">
        <f t="shared" si="14"/>
        <v>0.008223178174454445</v>
      </c>
      <c r="H69" s="54">
        <f t="shared" si="13"/>
        <v>0.04111589087227223</v>
      </c>
      <c r="I69" s="114"/>
      <c r="J69" s="1"/>
      <c r="K69" s="1"/>
      <c r="L69" s="1"/>
      <c r="M69" s="1"/>
      <c r="N69" s="1"/>
      <c r="O69" s="1"/>
    </row>
    <row r="70" spans="1:15" ht="12.75">
      <c r="A70" s="105" t="s">
        <v>65</v>
      </c>
      <c r="B70" s="105"/>
      <c r="C70" s="106"/>
      <c r="D70" s="47">
        <v>0.1</v>
      </c>
      <c r="E70" s="48">
        <f>(f*D70)/206265</f>
        <v>0.00020362155479601484</v>
      </c>
      <c r="F70" s="113"/>
      <c r="G70" s="53">
        <f>(((f/uzywanyokular)*obaparatu)*D70)/206265</f>
        <v>0.00039157991306925933</v>
      </c>
      <c r="H70" s="54">
        <f t="shared" si="13"/>
        <v>0.0019578995653462966</v>
      </c>
      <c r="I70" s="114"/>
      <c r="J70" s="1"/>
      <c r="K70" s="1"/>
      <c r="L70" s="1"/>
      <c r="M70" s="1"/>
      <c r="N70" s="1"/>
      <c r="O70" s="1"/>
    </row>
    <row r="71" spans="1:15" ht="12.75">
      <c r="A71" s="105" t="s">
        <v>66</v>
      </c>
      <c r="B71" s="105"/>
      <c r="C71" s="106"/>
      <c r="D71" s="47">
        <v>36</v>
      </c>
      <c r="E71" s="48">
        <f>(f*D71)/206265</f>
        <v>0.07330375972656535</v>
      </c>
      <c r="F71" s="49">
        <f>((f/d)*(f/d))/(czuloscfilmu*400)</f>
        <v>7.5E-05</v>
      </c>
      <c r="G71" s="53">
        <f>(((f/uzywanyokular)*obaparatu)*D71)/206265</f>
        <v>0.14096876870493333</v>
      </c>
      <c r="H71" s="54">
        <f t="shared" si="13"/>
        <v>0.7048438435246667</v>
      </c>
      <c r="I71" s="49">
        <f>((((f/uzywanyokular)*obaparatu)/d)*(((f/uzywanyokular)*obaparatu)/d))/(czuloscfilmu*400)</f>
        <v>0.00027736686390532545</v>
      </c>
      <c r="J71" s="1"/>
      <c r="K71" s="1"/>
      <c r="L71" s="1"/>
      <c r="M71" s="99"/>
      <c r="N71" s="99"/>
      <c r="O71" s="1"/>
    </row>
    <row r="72" spans="2:15" ht="129.75">
      <c r="B72" s="1"/>
      <c r="C72" s="1"/>
      <c r="D72" s="67" t="s">
        <v>67</v>
      </c>
      <c r="E72" s="67" t="s">
        <v>68</v>
      </c>
      <c r="F72" s="68" t="s">
        <v>69</v>
      </c>
      <c r="G72" s="100" t="s">
        <v>70</v>
      </c>
      <c r="H72" s="69" t="s">
        <v>71</v>
      </c>
      <c r="I72" s="69" t="s">
        <v>72</v>
      </c>
      <c r="J72" s="1"/>
      <c r="K72" s="1"/>
      <c r="L72" s="1"/>
      <c r="M72" s="1"/>
      <c r="N72" s="1"/>
      <c r="O72" s="1"/>
    </row>
    <row r="73" spans="2:15" ht="12.75">
      <c r="B73" s="1"/>
      <c r="C73" s="1"/>
      <c r="D73" s="102" t="s">
        <v>73</v>
      </c>
      <c r="E73" s="102"/>
      <c r="F73" s="70">
        <v>1200</v>
      </c>
      <c r="G73" s="101"/>
      <c r="H73" s="1"/>
      <c r="I73" s="1"/>
      <c r="J73" s="1"/>
      <c r="K73" s="1"/>
      <c r="L73" s="1"/>
      <c r="M73" s="1"/>
      <c r="N73" s="1"/>
      <c r="O73" s="1"/>
    </row>
    <row r="74" spans="2:15" ht="12.75">
      <c r="B74" s="1"/>
      <c r="C74" s="1"/>
      <c r="D74" s="103"/>
      <c r="E74" s="103"/>
      <c r="F74" s="71" t="s">
        <v>74</v>
      </c>
      <c r="G74" s="72">
        <v>50</v>
      </c>
      <c r="H74" s="1"/>
      <c r="I74" s="1"/>
      <c r="J74" s="1"/>
      <c r="K74" s="1"/>
      <c r="L74" s="1"/>
      <c r="M74" s="1"/>
      <c r="N74" s="1"/>
      <c r="O74" s="1"/>
    </row>
    <row r="75" spans="2:15" ht="12.75">
      <c r="B75" s="1"/>
      <c r="C75" s="1"/>
      <c r="D75" s="1"/>
      <c r="E75" s="1"/>
      <c r="F75" s="71" t="s">
        <v>75</v>
      </c>
      <c r="G75" s="72">
        <v>26</v>
      </c>
      <c r="H75" s="1"/>
      <c r="I75" s="1"/>
      <c r="J75" s="1"/>
      <c r="K75" s="1"/>
      <c r="L75" s="1"/>
      <c r="M75" s="1"/>
      <c r="N75" s="1"/>
      <c r="O75" s="1"/>
    </row>
    <row r="76" spans="2:15" ht="12.75">
      <c r="B76" s="1"/>
      <c r="C76" s="1"/>
      <c r="D76" s="1"/>
      <c r="E76" s="1"/>
      <c r="F76" s="1"/>
      <c r="G76" s="1"/>
      <c r="H76" s="1"/>
      <c r="I76" s="1"/>
      <c r="J76" s="1"/>
      <c r="K76" s="1"/>
      <c r="L76" s="1"/>
      <c r="M76" s="1"/>
      <c r="N76" s="1"/>
      <c r="O76" s="1"/>
    </row>
    <row r="77" spans="2:15" ht="12.75">
      <c r="B77" s="1"/>
      <c r="C77" s="1"/>
      <c r="D77" s="104"/>
      <c r="E77" s="104"/>
      <c r="F77" s="1"/>
      <c r="G77" s="1"/>
      <c r="H77" s="1"/>
      <c r="I77" s="1"/>
      <c r="J77" s="1"/>
      <c r="K77" s="1"/>
      <c r="L77" s="1"/>
      <c r="M77" s="1"/>
      <c r="N77" s="1"/>
      <c r="O77" s="1"/>
    </row>
    <row r="78" spans="2:15" ht="12.75">
      <c r="B78" s="1"/>
      <c r="C78" s="1"/>
      <c r="D78" s="1"/>
      <c r="E78" s="1"/>
      <c r="F78" s="1"/>
      <c r="G78" s="1"/>
      <c r="H78" s="1"/>
      <c r="I78" s="1"/>
      <c r="J78" s="1"/>
      <c r="K78" s="1"/>
      <c r="L78" s="1"/>
      <c r="M78" s="1"/>
      <c r="N78" s="1"/>
      <c r="O78" s="1"/>
    </row>
    <row r="79" spans="2:15" ht="12.75">
      <c r="B79" s="1"/>
      <c r="C79" s="1"/>
      <c r="D79" s="1"/>
      <c r="E79" s="1"/>
      <c r="F79" s="1"/>
      <c r="G79" s="1"/>
      <c r="H79" s="1"/>
      <c r="I79" s="1"/>
      <c r="J79" s="1"/>
      <c r="K79" s="1"/>
      <c r="L79" s="1"/>
      <c r="M79" s="1"/>
      <c r="N79" s="1"/>
      <c r="O79" s="1"/>
    </row>
    <row r="80" spans="2:15" ht="12.75">
      <c r="B80" s="1"/>
      <c r="C80" s="1"/>
      <c r="D80" s="1"/>
      <c r="E80" s="1"/>
      <c r="F80" s="1"/>
      <c r="G80" s="1"/>
      <c r="H80" s="1"/>
      <c r="I80" s="1"/>
      <c r="J80" s="1"/>
      <c r="K80" s="1"/>
      <c r="L80" s="1"/>
      <c r="M80" s="1"/>
      <c r="N80" s="1"/>
      <c r="O80" s="1"/>
    </row>
    <row r="81" spans="2:15" ht="12.75">
      <c r="B81" s="1"/>
      <c r="C81" s="1"/>
      <c r="D81" s="1"/>
      <c r="E81" s="1"/>
      <c r="F81" s="1"/>
      <c r="G81" s="1"/>
      <c r="H81" s="1"/>
      <c r="I81" s="1"/>
      <c r="J81" s="1"/>
      <c r="K81" s="1"/>
      <c r="L81" s="1"/>
      <c r="M81" s="1"/>
      <c r="N81" s="1"/>
      <c r="O81" s="1"/>
    </row>
    <row r="82" spans="2:15" ht="12.75">
      <c r="B82" s="1"/>
      <c r="C82" s="1"/>
      <c r="D82" s="1"/>
      <c r="E82" s="1"/>
      <c r="F82" s="1"/>
      <c r="G82" s="1"/>
      <c r="H82" s="1"/>
      <c r="I82" s="1"/>
      <c r="J82" s="1"/>
      <c r="K82" s="1"/>
      <c r="L82" s="1"/>
      <c r="M82" s="1"/>
      <c r="N82" s="1"/>
      <c r="O82" s="1"/>
    </row>
    <row r="83" spans="2:15" ht="12.75">
      <c r="B83" s="1"/>
      <c r="C83" s="1"/>
      <c r="D83" s="1"/>
      <c r="E83" s="1"/>
      <c r="F83" s="1"/>
      <c r="G83" s="1"/>
      <c r="H83" s="1"/>
      <c r="I83" s="1"/>
      <c r="J83" s="1"/>
      <c r="K83" s="1"/>
      <c r="L83" s="1"/>
      <c r="M83" s="1"/>
      <c r="N83" s="1"/>
      <c r="O83" s="1"/>
    </row>
    <row r="84" spans="2:15" ht="12.75">
      <c r="B84" s="1"/>
      <c r="C84" s="1"/>
      <c r="D84" s="1"/>
      <c r="E84" s="1"/>
      <c r="F84" s="1"/>
      <c r="G84" s="1"/>
      <c r="H84" s="1"/>
      <c r="I84" s="1"/>
      <c r="J84" s="1"/>
      <c r="K84" s="1"/>
      <c r="L84" s="1"/>
      <c r="M84" s="1"/>
      <c r="N84" s="1"/>
      <c r="O84" s="1"/>
    </row>
    <row r="85" spans="2:15" ht="12.75">
      <c r="B85" s="1"/>
      <c r="C85" s="1"/>
      <c r="D85" s="1"/>
      <c r="E85" s="1"/>
      <c r="F85" s="1"/>
      <c r="G85" s="1"/>
      <c r="H85" s="1"/>
      <c r="I85" s="1"/>
      <c r="J85" s="1"/>
      <c r="K85" s="1"/>
      <c r="L85" s="1"/>
      <c r="M85" s="1"/>
      <c r="N85" s="1"/>
      <c r="O85" s="1"/>
    </row>
  </sheetData>
  <sheetProtection/>
  <mergeCells count="54">
    <mergeCell ref="B10:E10"/>
    <mergeCell ref="B3:P3"/>
    <mergeCell ref="B4:P4"/>
    <mergeCell ref="B5:P5"/>
    <mergeCell ref="B8:E8"/>
    <mergeCell ref="B9:E9"/>
    <mergeCell ref="B11:E11"/>
    <mergeCell ref="B12:E13"/>
    <mergeCell ref="G12:H12"/>
    <mergeCell ref="G13:H13"/>
    <mergeCell ref="B14:E14"/>
    <mergeCell ref="G14:H14"/>
    <mergeCell ref="C41:O41"/>
    <mergeCell ref="A43:C43"/>
    <mergeCell ref="F43:I45"/>
    <mergeCell ref="M43:N45"/>
    <mergeCell ref="A44:C44"/>
    <mergeCell ref="Q23:Q33"/>
    <mergeCell ref="D60:D63"/>
    <mergeCell ref="E60:E63"/>
    <mergeCell ref="G60:G63"/>
    <mergeCell ref="H60:H63"/>
    <mergeCell ref="A46:C46"/>
    <mergeCell ref="B15:E15"/>
    <mergeCell ref="B16:E16"/>
    <mergeCell ref="C19:O19"/>
    <mergeCell ref="C21:O21"/>
    <mergeCell ref="A23:A33"/>
    <mergeCell ref="L60:O60"/>
    <mergeCell ref="L61:O61"/>
    <mergeCell ref="L62:P62"/>
    <mergeCell ref="A47:C47"/>
    <mergeCell ref="C53:O53"/>
    <mergeCell ref="G55:H55"/>
    <mergeCell ref="G56:H56"/>
    <mergeCell ref="A57:C57"/>
    <mergeCell ref="A58:C58"/>
    <mergeCell ref="A59:C59"/>
    <mergeCell ref="I66:I67"/>
    <mergeCell ref="A68:C68"/>
    <mergeCell ref="F68:F70"/>
    <mergeCell ref="I68:I70"/>
    <mergeCell ref="A69:C69"/>
    <mergeCell ref="A70:C70"/>
    <mergeCell ref="M71:N71"/>
    <mergeCell ref="G72:G73"/>
    <mergeCell ref="D73:E73"/>
    <mergeCell ref="D74:E74"/>
    <mergeCell ref="D77:E77"/>
    <mergeCell ref="A64:C64"/>
    <mergeCell ref="A65:C65"/>
    <mergeCell ref="A66:C66"/>
    <mergeCell ref="F66:F67"/>
    <mergeCell ref="A71:C71"/>
  </mergeCells>
  <conditionalFormatting sqref="E57:E71 G57:G71">
    <cfRule type="cellIs" priority="1" dxfId="9" operator="greaterThan" stopIfTrue="1">
      <formula>24</formula>
    </cfRule>
  </conditionalFormatting>
  <conditionalFormatting sqref="F57:F67 F71">
    <cfRule type="cellIs" priority="2" dxfId="2" operator="greaterThan" stopIfTrue="1">
      <formula>0.04444444</formula>
    </cfRule>
    <cfRule type="cellIs" priority="3" dxfId="5" operator="lessThan" stopIfTrue="1">
      <formula>0.00133333</formula>
    </cfRule>
  </conditionalFormatting>
  <conditionalFormatting sqref="I57:I67 I71">
    <cfRule type="cellIs" priority="4" dxfId="2" operator="greaterThan" stopIfTrue="1">
      <formula>0.04444444</formula>
    </cfRule>
    <cfRule type="cellIs" priority="5" dxfId="5" operator="lessThan" stopIfTrue="1">
      <formula>0.001333333</formula>
    </cfRule>
  </conditionalFormatting>
  <conditionalFormatting sqref="C23:O33">
    <cfRule type="cellIs" priority="6" dxfId="4" operator="greaterThanOrEqual" stopIfTrue="1">
      <formula>60</formula>
    </cfRule>
    <cfRule type="cellIs" priority="7" dxfId="1" operator="lessThanOrEqual" stopIfTrue="1">
      <formula>10</formula>
    </cfRule>
    <cfRule type="cellIs" priority="8" dxfId="2" operator="between" stopIfTrue="1">
      <formula>10</formula>
      <formula>60</formula>
    </cfRule>
  </conditionalFormatting>
  <conditionalFormatting sqref="M46:N47">
    <cfRule type="cellIs" priority="9" dxfId="1" operator="lessThan" stopIfTrue="1">
      <formula>0.5</formula>
    </cfRule>
  </conditionalFormatting>
  <conditionalFormatting sqref="P23:P33">
    <cfRule type="cellIs" priority="10" dxfId="0" operator="notBetween" stopIfTrue="1">
      <formula>$F$16</formula>
      <formula>$F$15</formula>
    </cfRule>
  </conditionalFormatting>
  <hyperlinks>
    <hyperlink ref="B5" r:id="rId1" display="www.cosmo.prv.pl"/>
    <hyperlink ref="B5:P5" r:id="rId2" display="http://www.cosmo.prv.pl/"/>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9"/>
  <sheetViews>
    <sheetView zoomScalePageLayoutView="0" workbookViewId="0" topLeftCell="A1">
      <selection activeCell="A9" sqref="A9"/>
    </sheetView>
  </sheetViews>
  <sheetFormatPr defaultColWidth="9.140625" defaultRowHeight="12.75"/>
  <sheetData>
    <row r="1" ht="12.75">
      <c r="A1">
        <v>3500</v>
      </c>
    </row>
    <row r="2" ht="12.75">
      <c r="A2">
        <v>630</v>
      </c>
    </row>
    <row r="3" ht="12.75">
      <c r="A3">
        <v>530</v>
      </c>
    </row>
    <row r="4" ht="12.75">
      <c r="A4">
        <v>800</v>
      </c>
    </row>
    <row r="5" ht="12.75">
      <c r="A5">
        <v>840</v>
      </c>
    </row>
    <row r="6" ht="12.75">
      <c r="A6">
        <v>620</v>
      </c>
    </row>
    <row r="7" ht="12.75">
      <c r="A7">
        <v>480</v>
      </c>
    </row>
    <row r="8" ht="12.75">
      <c r="A8">
        <f>SUM(A1:A7)</f>
        <v>7400</v>
      </c>
    </row>
    <row r="9" ht="12.75">
      <c r="A9">
        <f>A8*4.2</f>
        <v>31080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3">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xxx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uniwersal</dc:creator>
  <cp:keywords/>
  <dc:description/>
  <cp:lastModifiedBy>mpiechaczek</cp:lastModifiedBy>
  <cp:lastPrinted>2015-06-25T09:32:28Z</cp:lastPrinted>
  <dcterms:created xsi:type="dcterms:W3CDTF">2013-06-25T08:05:42Z</dcterms:created>
  <dcterms:modified xsi:type="dcterms:W3CDTF">2015-06-25T09:32:29Z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