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Część II zał. nr 2b do SIWZ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<sst xmlns="http://schemas.openxmlformats.org/spreadsheetml/2006/main" count="93" uniqueCount="90">
  <si>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</si>
  <si>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</si>
  <si>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</si>
  <si>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</si>
  <si>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</si>
  <si>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</si>
  <si>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</si>
  <si>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</si>
  <si>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</si>
  <si>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</si>
  <si>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</si>
  <si>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</si>
  <si>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</si>
  <si>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</si>
  <si>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</si>
  <si>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</si>
  <si>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</si>
  <si>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</si>
  <si>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</si>
  <si>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</si>
  <si>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</si>
  <si>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</si>
  <si>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</si>
  <si>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</si>
  <si>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</si>
  <si>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</si>
  <si>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</si>
  <si>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</si>
  <si>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</si>
  <si>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</si>
  <si>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</si>
  <si>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</si>
  <si>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</si>
  <si>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</si>
  <si>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</si>
  <si>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</si>
  <si>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</si>
  <si>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</si>
  <si>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</si>
  <si>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</si>
  <si>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</si>
  <si>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</si>
  <si>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</si>
  <si>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</si>
  <si>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</si>
  <si>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</si>
  <si>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</si>
  <si>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</si>
  <si>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</si>
  <si>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</si>
  <si>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</si>
  <si>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</si>
  <si>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</si>
  <si>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</si>
  <si>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</si>
  <si>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</si>
  <si>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</si>
  <si>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</si>
  <si>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</si>
  <si>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</si>
  <si>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</si>
  <si>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</si>
  <si>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</si>
  <si>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</si>
  <si>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</si>
  <si>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</si>
  <si>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</si>
  <si>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</si>
  <si>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</si>
  <si>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</si>
  <si>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</si>
  <si>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</si>
  <si>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</si>
  <si>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</si>
  <si>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</si>
  <si>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</si>
  <si>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WARTOŚĆ BRUTTO OGÓŁEM</t>
  </si>
  <si>
    <t>Cena jednostkowa brutto</t>
  </si>
  <si>
    <t>RAZEM:</t>
  </si>
  <si>
    <t>Opis produktu/minimalne wymagania Zamawiającego</t>
  </si>
  <si>
    <t>Proponowany asortyment  (nazwa produktu, model, producent, opis)</t>
  </si>
  <si>
    <t>7=5x6</t>
  </si>
  <si>
    <t>załącznik nr 2b do SIWZ</t>
  </si>
  <si>
    <r>
      <t>Cześć II</t>
    </r>
    <r>
      <rPr>
        <sz val="9"/>
        <rFont val="Calibri"/>
        <family val="2"/>
      </rPr>
      <t xml:space="preserve"> – dostawa sprzętu komputerowego – tabletów</t>
    </r>
  </si>
  <si>
    <t>20/ZP/RCRE/POKL9.1.2/2015</t>
  </si>
  <si>
    <t>Nazwa produktu</t>
  </si>
  <si>
    <t>Tablet o przekątnej ekranu 9"</t>
  </si>
  <si>
    <t>Tablet o przekątnej ekranu 7"</t>
  </si>
  <si>
    <r>
      <t xml:space="preserve">Tablet o przekątnej ekranu 9" o rozdzielczości 1024x768 px.  Wbudowana pamięć 8GB. Pamięć RAM 1GB. Komunikacja WLAN. Ekran pojemościowy z obsługą Multi-Touch. Obsługa kart micro SD. System operacyjny Android 4.1. </t>
    </r>
    <r>
      <rPr>
        <u val="single"/>
        <sz val="8"/>
        <color indexed="8"/>
        <rFont val="Calibri"/>
        <family val="2"/>
      </rPr>
      <t>np. Goclever Orion 97 lub równoważny</t>
    </r>
  </si>
  <si>
    <r>
      <t xml:space="preserve">Tablet o przekątnej ekranu 7" o rozdzielczości 800x480 px.  Wbudowana pamięć 4GB. Pamięć RAM 512GB. Komunikacja WLAN. Ekran pojemościowy z obsługą Multi-Touch. Obsługa kart micro SD. System operacyjny Android 4. </t>
    </r>
    <r>
      <rPr>
        <u val="single"/>
        <sz val="8"/>
        <color indexed="8"/>
        <rFont val="Calibri"/>
        <family val="2"/>
      </rPr>
      <t>np. Overmax Livecore 7010 lub równoważny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</si>
</sst>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sz val="9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5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5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5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7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5" borderId="1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5" fontId="35" fillId="24" borderId="10" xfId="0" applyNumberFormat="1" applyFont="1" applyFill="1" applyBorder="1" applyAlignment="1">
      <alignment horizontal="center" vertical="center"/>
    </xf>
    <xf numFmtId="0" fontId="36" fillId="0" borderId="10" xfId="53" applyFont="1" applyFill="1" applyBorder="1" applyAlignment="1">
      <alignment horizontal="center" vertical="center" wrapText="1"/>
      <protection/>
    </xf>
    <xf numFmtId="165" fontId="36" fillId="0" borderId="10" xfId="53" applyNumberFormat="1" applyFont="1" applyFill="1" applyBorder="1" applyAlignment="1">
      <alignment horizontal="left" vertical="center" wrapText="1"/>
      <protection/>
    </xf>
    <xf numFmtId="165" fontId="36" fillId="0" borderId="10" xfId="53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1" fillId="28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right" vertical="center"/>
    </xf>
    <xf numFmtId="0" fontId="35" fillId="24" borderId="16" xfId="0" applyFont="1" applyFill="1" applyBorder="1" applyAlignment="1">
      <alignment horizontal="right" vertical="center"/>
    </xf>
    <xf numFmtId="0" fontId="35" fillId="24" borderId="13" xfId="0" applyFont="1" applyFill="1" applyBorder="1" applyAlignment="1">
      <alignment horizontal="right" vertical="center"/>
    </xf>
    <xf numFmtId="164" fontId="38" fillId="28" borderId="17" xfId="0" applyNumberFormat="1" applyFont="1" applyFill="1" applyBorder="1" applyAlignment="1">
      <alignment horizontal="center" vertical="center"/>
    </xf>
    <xf numFmtId="164" fontId="39" fillId="28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8" borderId="0" xfId="0" applyFont="1" applyFill="1" applyAlignment="1">
      <alignment horizontal="left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9" fillId="25" borderId="0" xfId="0" applyFont="1" applyFill="1" applyAlignment="1" applyProtection="1">
      <alignment horizontal="left"/>
      <protection locked="0"/>
    </xf>
    <xf numFmtId="0" fontId="25" fillId="5" borderId="11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178" fontId="25" fillId="0" borderId="20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25" fillId="5" borderId="21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0" fontId="40" fillId="28" borderId="1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7.00390625" style="74" customWidth="1"/>
    <col min="2" max="2" width="16.7109375" style="77" customWidth="1"/>
    <col min="3" max="3" width="68.421875" style="77" customWidth="1"/>
    <col min="4" max="4" width="22.7109375" style="76" customWidth="1"/>
    <col min="5" max="5" width="10.28125" style="74" customWidth="1"/>
    <col min="6" max="6" width="11.57421875" style="74" customWidth="1"/>
    <col min="7" max="7" width="12.7109375" style="74" customWidth="1"/>
    <col min="9" max="16384" width="9.140625" style="75" customWidth="1"/>
  </cols>
  <sheetData>
    <row r="1" spans="1:7" ht="39" customHeight="1">
      <c r="A1" s="132" t="s">
        <v>84</v>
      </c>
      <c r="B1" s="132"/>
      <c r="C1" s="82" t="s">
        <v>83</v>
      </c>
      <c r="D1" s="85"/>
      <c r="E1" s="90" t="s">
        <v>82</v>
      </c>
      <c r="F1" s="91"/>
      <c r="G1" s="91"/>
    </row>
    <row r="2" spans="1:8" ht="62.25" customHeight="1">
      <c r="A2" s="1" t="s">
        <v>1</v>
      </c>
      <c r="B2" s="1" t="s">
        <v>85</v>
      </c>
      <c r="C2" s="1" t="s">
        <v>79</v>
      </c>
      <c r="D2" s="1" t="s">
        <v>80</v>
      </c>
      <c r="E2" s="1" t="s">
        <v>0</v>
      </c>
      <c r="F2" s="1" t="s">
        <v>77</v>
      </c>
      <c r="G2" s="1" t="s">
        <v>76</v>
      </c>
      <c r="H2" s="75"/>
    </row>
    <row r="3" spans="1:8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81</v>
      </c>
      <c r="H3" s="75"/>
    </row>
    <row r="4" spans="1:8" ht="53.25" customHeight="1">
      <c r="A4" s="79">
        <v>1</v>
      </c>
      <c r="B4" s="84" t="s">
        <v>86</v>
      </c>
      <c r="C4" s="86" t="s">
        <v>88</v>
      </c>
      <c r="D4" s="80"/>
      <c r="E4" s="83">
        <v>2</v>
      </c>
      <c r="F4" s="81"/>
      <c r="G4" s="81">
        <f>E4*F4</f>
        <v>0</v>
      </c>
      <c r="H4" s="75"/>
    </row>
    <row r="5" spans="1:8" ht="56.25" customHeight="1">
      <c r="A5" s="79">
        <v>2</v>
      </c>
      <c r="B5" s="84" t="s">
        <v>87</v>
      </c>
      <c r="C5" s="86" t="s">
        <v>89</v>
      </c>
      <c r="D5" s="80"/>
      <c r="E5" s="83">
        <v>4</v>
      </c>
      <c r="F5" s="81"/>
      <c r="G5" s="81">
        <f>E5*F5</f>
        <v>0</v>
      </c>
      <c r="H5" s="75"/>
    </row>
    <row r="6" spans="1:8" ht="25.5" customHeight="1">
      <c r="A6" s="87" t="s">
        <v>78</v>
      </c>
      <c r="B6" s="88"/>
      <c r="C6" s="88"/>
      <c r="D6" s="88"/>
      <c r="E6" s="88"/>
      <c r="F6" s="89"/>
      <c r="G6" s="78">
        <f>SUM(G4:G5)</f>
        <v>0</v>
      </c>
      <c r="H6" s="75"/>
    </row>
    <row r="7" ht="12">
      <c r="H7" s="75"/>
    </row>
    <row r="8" ht="12">
      <c r="H8" s="75"/>
    </row>
    <row r="9" ht="12">
      <c r="H9" s="75"/>
    </row>
    <row r="10" ht="12">
      <c r="H10" s="75"/>
    </row>
    <row r="11" ht="12">
      <c r="H11" s="75"/>
    </row>
    <row r="12" ht="12">
      <c r="H12" s="75"/>
    </row>
    <row r="13" ht="12">
      <c r="H13" s="75"/>
    </row>
    <row r="14" ht="12">
      <c r="H14" s="75"/>
    </row>
    <row r="15" ht="12">
      <c r="H15" s="75"/>
    </row>
    <row r="16" ht="12">
      <c r="H16" s="75"/>
    </row>
  </sheetData>
  <sheetProtection/>
  <mergeCells count="3">
    <mergeCell ref="A1:B1"/>
    <mergeCell ref="A6:F6"/>
    <mergeCell ref="E1:G1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9.140625" defaultRowHeight="12.75"/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2.75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12.7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96" t="s">
        <v>5</v>
      </c>
      <c r="C8" s="96"/>
      <c r="D8" s="96"/>
      <c r="E8" s="96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96" t="s">
        <v>6</v>
      </c>
      <c r="C9" s="96"/>
      <c r="D9" s="96"/>
      <c r="E9" s="96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92" t="s">
        <v>7</v>
      </c>
      <c r="C10" s="92"/>
      <c r="D10" s="92"/>
      <c r="E10" s="92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97" t="s">
        <v>8</v>
      </c>
      <c r="C11" s="97"/>
      <c r="D11" s="97"/>
      <c r="E11" s="97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98" t="s">
        <v>9</v>
      </c>
      <c r="C12" s="98"/>
      <c r="D12" s="98"/>
      <c r="E12" s="98"/>
      <c r="F12" s="7">
        <f>LN(d)*2.403</f>
        <v>10.20913406664461</v>
      </c>
      <c r="G12" s="99" t="s">
        <v>10</v>
      </c>
      <c r="H12" s="99"/>
      <c r="I12" s="2"/>
      <c r="J12" s="2"/>
      <c r="K12" s="2"/>
      <c r="L12" s="2"/>
      <c r="M12" s="2"/>
      <c r="N12" s="2"/>
      <c r="O12" s="2"/>
    </row>
    <row r="13" spans="2:15" ht="12.75">
      <c r="B13" s="98"/>
      <c r="C13" s="98"/>
      <c r="D13" s="98"/>
      <c r="E13" s="98"/>
      <c r="F13" s="7">
        <f>LN(d)*2.753</f>
        <v>11.696107401361887</v>
      </c>
      <c r="G13" s="99" t="s">
        <v>11</v>
      </c>
      <c r="H13" s="99"/>
      <c r="I13" s="2"/>
      <c r="J13" s="2"/>
      <c r="K13" s="2"/>
      <c r="L13" s="2"/>
      <c r="M13" s="2"/>
      <c r="N13" s="2"/>
      <c r="O13" s="2"/>
    </row>
    <row r="14" spans="2:15" ht="12.75">
      <c r="B14" s="97" t="s">
        <v>12</v>
      </c>
      <c r="C14" s="97"/>
      <c r="D14" s="97"/>
      <c r="E14" s="97"/>
      <c r="F14" s="8">
        <f>(3.141592*((d/2)*(d/2)))/(3.141592*((J16/2)*(J16/2)))</f>
        <v>196</v>
      </c>
      <c r="G14" s="99" t="s">
        <v>13</v>
      </c>
      <c r="H14" s="99"/>
      <c r="I14" s="9">
        <f>J16</f>
        <v>5</v>
      </c>
      <c r="J14" s="2"/>
      <c r="K14" s="2"/>
      <c r="L14" s="2"/>
      <c r="M14" s="2"/>
      <c r="N14" s="2"/>
      <c r="O14" s="2"/>
    </row>
    <row r="15" spans="2:15" ht="12.75">
      <c r="B15" s="97" t="s">
        <v>14</v>
      </c>
      <c r="C15" s="97"/>
      <c r="D15" s="97"/>
      <c r="E15" s="97"/>
      <c r="F15" s="10">
        <f>d*2</f>
        <v>140</v>
      </c>
      <c r="G15" s="11" t="s">
        <v>15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5" ht="12.75">
      <c r="B16" s="97" t="s">
        <v>16</v>
      </c>
      <c r="C16" s="97"/>
      <c r="D16" s="97"/>
      <c r="E16" s="97"/>
      <c r="F16" s="10">
        <f>(d/J16)</f>
        <v>14</v>
      </c>
      <c r="G16" s="11" t="s">
        <v>15</v>
      </c>
      <c r="H16" s="12">
        <f>f/(d/J16)</f>
        <v>30</v>
      </c>
      <c r="I16" s="11" t="s">
        <v>17</v>
      </c>
      <c r="J16" s="13">
        <v>5</v>
      </c>
      <c r="K16" s="2"/>
      <c r="L16" s="2"/>
      <c r="M16" s="2"/>
      <c r="N16" s="2"/>
      <c r="O16" s="2"/>
    </row>
    <row r="17" spans="1:15" ht="12.75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6"/>
      <c r="B19" s="15"/>
      <c r="C19" s="100" t="s">
        <v>18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112" t="s">
        <v>19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2:15" ht="12.75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 ht="12.75">
      <c r="A23" s="113" t="s">
        <v>20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28.57142857142857</v>
      </c>
      <c r="F23" s="20">
        <f>(B23/f*F22)*60</f>
        <v>32.14285714285714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</v>
      </c>
      <c r="K23" s="20">
        <f>(B23/f*K22)*60</f>
        <v>49.99999999999999</v>
      </c>
      <c r="L23" s="20">
        <f>(B23/f*L22)*60</f>
        <v>53.57142857142857</v>
      </c>
      <c r="M23" s="20">
        <f>(B23/f*M22)*60</f>
        <v>57.14285714285714</v>
      </c>
      <c r="N23" s="20">
        <f>(B23/f*N22)*60</f>
        <v>60.71428571428571</v>
      </c>
      <c r="O23" s="21">
        <f>(B23/f*O22)*60</f>
        <v>64.28571428571428</v>
      </c>
      <c r="P23" s="22">
        <f>f/B23</f>
        <v>84</v>
      </c>
      <c r="Q23" s="106" t="s">
        <v>21</v>
      </c>
    </row>
    <row r="24" spans="1:17" ht="12.75">
      <c r="A24" s="113"/>
      <c r="B24" s="19">
        <v>10</v>
      </c>
      <c r="C24" s="20">
        <f>f_10/f*C22*60</f>
        <v>42.857142857142854</v>
      </c>
      <c r="D24" s="20">
        <f aca="true" t="shared" si="0" ref="D24:O24">f_10/f*D22*60</f>
        <v>49.99999999999999</v>
      </c>
      <c r="E24" s="20">
        <f t="shared" si="0"/>
        <v>57.14285714285714</v>
      </c>
      <c r="F24" s="20">
        <f t="shared" si="0"/>
        <v>64.28571428571428</v>
      </c>
      <c r="G24" s="20">
        <f t="shared" si="0"/>
        <v>71.42857142857143</v>
      </c>
      <c r="H24" s="20">
        <f t="shared" si="0"/>
        <v>78.57142857142857</v>
      </c>
      <c r="I24" s="23">
        <f t="shared" si="0"/>
        <v>85.71428571428571</v>
      </c>
      <c r="J24" s="24">
        <f t="shared" si="0"/>
        <v>92.85714285714285</v>
      </c>
      <c r="K24" s="20">
        <f t="shared" si="0"/>
        <v>99.99999999999999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aca="true" t="shared" si="1" ref="P24:P33">f/B24</f>
        <v>42</v>
      </c>
      <c r="Q24" s="106"/>
    </row>
    <row r="25" spans="1:17" ht="12.75">
      <c r="A25" s="113"/>
      <c r="B25" s="19">
        <v>15</v>
      </c>
      <c r="C25" s="20">
        <f>f_15/f*C22*60</f>
        <v>64.28571428571428</v>
      </c>
      <c r="D25" s="20">
        <f aca="true" t="shared" si="2" ref="D25:O25">f_15/f*D22*60</f>
        <v>75</v>
      </c>
      <c r="E25" s="20">
        <f t="shared" si="2"/>
        <v>85.71428571428571</v>
      </c>
      <c r="F25" s="20">
        <f t="shared" si="2"/>
        <v>96.42857142857142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160.7142857142857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06"/>
    </row>
    <row r="26" spans="1:17" ht="12.75">
      <c r="A26" s="113"/>
      <c r="B26" s="19">
        <v>20</v>
      </c>
      <c r="C26" s="20">
        <f>f_20/f*C22*60</f>
        <v>85.71428571428571</v>
      </c>
      <c r="D26" s="20">
        <f aca="true" t="shared" si="3" ref="D26:O26">f_20/f*D22*60</f>
        <v>99.99999999999999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185.7142857142857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</v>
      </c>
      <c r="P26" s="22">
        <f t="shared" si="1"/>
        <v>21</v>
      </c>
      <c r="Q26" s="106"/>
    </row>
    <row r="27" spans="1:17" ht="12.75">
      <c r="A27" s="113"/>
      <c r="B27" s="19">
        <v>25</v>
      </c>
      <c r="C27" s="20">
        <f>f_25/f*C22*60</f>
        <v>107.14285714285714</v>
      </c>
      <c r="D27" s="20">
        <f aca="true" t="shared" si="4" ref="D27:O27">f_25/f*D22*60</f>
        <v>124.99999999999999</v>
      </c>
      <c r="E27" s="20">
        <f t="shared" si="4"/>
        <v>142.85714285714286</v>
      </c>
      <c r="F27" s="23">
        <f t="shared" si="4"/>
        <v>160.7142857142857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</v>
      </c>
      <c r="K27" s="20">
        <f t="shared" si="4"/>
        <v>249.99999999999997</v>
      </c>
      <c r="L27" s="20">
        <f t="shared" si="4"/>
        <v>267.8571428571429</v>
      </c>
      <c r="M27" s="20">
        <f t="shared" si="4"/>
        <v>285.7142857142857</v>
      </c>
      <c r="N27" s="20">
        <f t="shared" si="4"/>
        <v>303.57142857142856</v>
      </c>
      <c r="O27" s="21">
        <f t="shared" si="4"/>
        <v>321.4285714285714</v>
      </c>
      <c r="P27" s="22">
        <f t="shared" si="1"/>
        <v>16.8</v>
      </c>
      <c r="Q27" s="106"/>
    </row>
    <row r="28" spans="1:17" ht="12.75">
      <c r="A28" s="113"/>
      <c r="B28" s="19">
        <v>30</v>
      </c>
      <c r="C28" s="20">
        <f>f_30/f*C22*60</f>
        <v>128.57142857142856</v>
      </c>
      <c r="D28" s="20">
        <f aca="true" t="shared" si="5" ref="D28:O28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235.7142857142857</v>
      </c>
      <c r="I28" s="20">
        <f t="shared" si="5"/>
        <v>257.1428571428571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321.4285714285714</v>
      </c>
      <c r="M28" s="20">
        <f t="shared" si="5"/>
        <v>342.85714285714283</v>
      </c>
      <c r="N28" s="20">
        <f t="shared" si="5"/>
        <v>364.2857142857143</v>
      </c>
      <c r="O28" s="21">
        <f t="shared" si="5"/>
        <v>385.71428571428567</v>
      </c>
      <c r="P28" s="22">
        <f t="shared" si="1"/>
        <v>14</v>
      </c>
      <c r="Q28" s="106"/>
    </row>
    <row r="29" spans="1:17" ht="12.75">
      <c r="A29" s="113"/>
      <c r="B29" s="19">
        <v>35</v>
      </c>
      <c r="C29" s="20">
        <f>f_35/f*C22*60</f>
        <v>150</v>
      </c>
      <c r="D29" s="20">
        <f aca="true" t="shared" si="6" ref="D29:O29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06"/>
    </row>
    <row r="30" spans="1:17" ht="12.75">
      <c r="A30" s="113"/>
      <c r="B30" s="19">
        <v>40</v>
      </c>
      <c r="C30" s="20">
        <f>f_40/f*C22*60</f>
        <v>171.42857142857142</v>
      </c>
      <c r="D30" s="20">
        <f aca="true" t="shared" si="7" ref="D30:O30">f_40/f*D22*60</f>
        <v>199.99999999999997</v>
      </c>
      <c r="E30" s="20">
        <f t="shared" si="7"/>
        <v>228.57142857142856</v>
      </c>
      <c r="F30" s="20">
        <f t="shared" si="7"/>
        <v>257.1428571428571</v>
      </c>
      <c r="G30" s="20">
        <f t="shared" si="7"/>
        <v>285.7142857142857</v>
      </c>
      <c r="H30" s="20">
        <f t="shared" si="7"/>
        <v>314.2857142857143</v>
      </c>
      <c r="I30" s="20">
        <f t="shared" si="7"/>
        <v>342.85714285714283</v>
      </c>
      <c r="J30" s="20">
        <f t="shared" si="7"/>
        <v>371.4285714285714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</v>
      </c>
      <c r="N30" s="20">
        <f t="shared" si="7"/>
        <v>485.71428571428567</v>
      </c>
      <c r="O30" s="21">
        <f t="shared" si="7"/>
        <v>514.2857142857142</v>
      </c>
      <c r="P30" s="22">
        <f t="shared" si="1"/>
        <v>10.5</v>
      </c>
      <c r="Q30" s="106"/>
    </row>
    <row r="31" spans="1:17" ht="12.75">
      <c r="A31" s="113"/>
      <c r="B31" s="19">
        <v>45</v>
      </c>
      <c r="C31" s="20">
        <f>f_45/f*C22*60</f>
        <v>192.85714285714283</v>
      </c>
      <c r="D31" s="20">
        <f aca="true" t="shared" si="8" ref="D31:O31">f_45/f*D22*60</f>
        <v>225</v>
      </c>
      <c r="E31" s="20">
        <f t="shared" si="8"/>
        <v>257.1428571428571</v>
      </c>
      <c r="F31" s="20">
        <f t="shared" si="8"/>
        <v>289.2857142857143</v>
      </c>
      <c r="G31" s="20">
        <f t="shared" si="8"/>
        <v>321.4285714285714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</v>
      </c>
      <c r="M31" s="20">
        <f t="shared" si="8"/>
        <v>514.2857142857142</v>
      </c>
      <c r="N31" s="20">
        <f t="shared" si="8"/>
        <v>546.4285714285713</v>
      </c>
      <c r="O31" s="21">
        <f t="shared" si="8"/>
        <v>578.5714285714286</v>
      </c>
      <c r="P31" s="22">
        <f t="shared" si="1"/>
        <v>9.333333333333334</v>
      </c>
      <c r="Q31" s="106"/>
    </row>
    <row r="32" spans="1:17" ht="12.75">
      <c r="A32" s="113"/>
      <c r="B32" s="19">
        <v>50</v>
      </c>
      <c r="C32" s="20">
        <f>f_50/f*C22*60</f>
        <v>214.28571428571428</v>
      </c>
      <c r="D32" s="20">
        <f aca="true" t="shared" si="9" ref="D32:O32">f_50/f*D22*60</f>
        <v>249.99999999999997</v>
      </c>
      <c r="E32" s="20">
        <f t="shared" si="9"/>
        <v>285.7142857142857</v>
      </c>
      <c r="F32" s="20">
        <f t="shared" si="9"/>
        <v>321.4285714285714</v>
      </c>
      <c r="G32" s="20">
        <f t="shared" si="9"/>
        <v>357.1428571428571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</v>
      </c>
      <c r="K32" s="20">
        <f t="shared" si="9"/>
        <v>499.99999999999994</v>
      </c>
      <c r="L32" s="20">
        <f t="shared" si="9"/>
        <v>535.7142857142858</v>
      </c>
      <c r="M32" s="20">
        <f t="shared" si="9"/>
        <v>571.4285714285714</v>
      </c>
      <c r="N32" s="20">
        <f t="shared" si="9"/>
        <v>607.1428571428571</v>
      </c>
      <c r="O32" s="21">
        <f t="shared" si="9"/>
        <v>642.8571428571428</v>
      </c>
      <c r="P32" s="22">
        <f t="shared" si="1"/>
        <v>8.4</v>
      </c>
      <c r="Q32" s="106"/>
    </row>
    <row r="33" spans="1:17" ht="12.75">
      <c r="A33" s="113"/>
      <c r="B33" s="19">
        <v>55</v>
      </c>
      <c r="C33" s="20">
        <f>f_55/f*C22*60</f>
        <v>235.71428571428572</v>
      </c>
      <c r="D33" s="20">
        <f aca="true" t="shared" si="10" ref="D33:O33">f_55/f*D22*60</f>
        <v>275.00000000000006</v>
      </c>
      <c r="E33" s="20">
        <f t="shared" si="10"/>
        <v>314.2857142857143</v>
      </c>
      <c r="F33" s="20">
        <f t="shared" si="10"/>
        <v>353.5714285714286</v>
      </c>
      <c r="G33" s="20">
        <f t="shared" si="10"/>
        <v>392.8571428571429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510.7142857142858</v>
      </c>
      <c r="K33" s="20">
        <f t="shared" si="10"/>
        <v>550.0000000000001</v>
      </c>
      <c r="L33" s="20">
        <f t="shared" si="10"/>
        <v>589.2857142857142</v>
      </c>
      <c r="M33" s="20">
        <f t="shared" si="10"/>
        <v>628.5714285714286</v>
      </c>
      <c r="N33" s="20">
        <f t="shared" si="10"/>
        <v>667.8571428571429</v>
      </c>
      <c r="O33" s="21">
        <f t="shared" si="10"/>
        <v>707.1428571428572</v>
      </c>
      <c r="P33" s="22">
        <f t="shared" si="1"/>
        <v>7.636363636363637</v>
      </c>
      <c r="Q33" s="106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2:15" ht="12.75">
      <c r="B35" s="2"/>
      <c r="C35" s="2"/>
      <c r="D35" s="26"/>
      <c r="E35" s="11" t="s">
        <v>22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2:15" ht="12.75">
      <c r="B36" s="2"/>
      <c r="C36" s="2"/>
      <c r="D36" s="29"/>
      <c r="E36" s="11" t="s">
        <v>23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2:15" ht="12.75">
      <c r="B37" s="2"/>
      <c r="C37" s="2"/>
      <c r="D37" s="30"/>
      <c r="E37" s="11" t="s">
        <v>24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2:15" ht="12.75">
      <c r="B38" s="2"/>
      <c r="C38" s="2"/>
      <c r="D38" s="31"/>
      <c r="E38" s="11" t="s">
        <v>25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2:15" ht="12.75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100" t="s">
        <v>26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101" t="s">
        <v>27</v>
      </c>
      <c r="B43" s="101"/>
      <c r="C43" s="101"/>
      <c r="D43" s="32">
        <v>36</v>
      </c>
      <c r="E43" s="32">
        <v>24</v>
      </c>
      <c r="F43" s="102" t="s">
        <v>28</v>
      </c>
      <c r="G43" s="102"/>
      <c r="H43" s="102"/>
      <c r="I43" s="103"/>
      <c r="J43" s="33"/>
      <c r="K43" s="34">
        <f aca="true" t="shared" si="11" ref="K43:L47">ATAN(D43/2/f)*57.2957*2</f>
        <v>4.908056537815201</v>
      </c>
      <c r="L43" s="34">
        <f t="shared" si="11"/>
        <v>3.2731495408644817</v>
      </c>
      <c r="M43" s="102" t="s">
        <v>28</v>
      </c>
      <c r="N43" s="103"/>
    </row>
    <row r="44" spans="1:14" ht="12.75">
      <c r="A44" s="101" t="s">
        <v>29</v>
      </c>
      <c r="B44" s="101"/>
      <c r="C44" s="101"/>
      <c r="D44" s="32">
        <v>60</v>
      </c>
      <c r="E44" s="32">
        <v>60</v>
      </c>
      <c r="F44" s="104"/>
      <c r="G44" s="104"/>
      <c r="H44" s="104"/>
      <c r="I44" s="105"/>
      <c r="J44" s="33"/>
      <c r="K44" s="34">
        <f t="shared" si="11"/>
        <v>8.171222220197116</v>
      </c>
      <c r="L44" s="34">
        <f t="shared" si="11"/>
        <v>8.171222220197116</v>
      </c>
      <c r="M44" s="104"/>
      <c r="N44" s="105"/>
    </row>
    <row r="45" spans="1:14" ht="12.75">
      <c r="A45" s="35" t="s">
        <v>30</v>
      </c>
      <c r="B45" s="35"/>
      <c r="C45" s="35"/>
      <c r="D45" s="32">
        <v>90</v>
      </c>
      <c r="E45" s="32">
        <v>60</v>
      </c>
      <c r="F45" s="104"/>
      <c r="G45" s="104"/>
      <c r="H45" s="104"/>
      <c r="I45" s="105"/>
      <c r="J45" s="33"/>
      <c r="K45" s="34">
        <f t="shared" si="11"/>
        <v>12.230990158806161</v>
      </c>
      <c r="L45" s="34">
        <f t="shared" si="11"/>
        <v>8.171222220197116</v>
      </c>
      <c r="M45" s="104"/>
      <c r="N45" s="105"/>
    </row>
    <row r="46" spans="1:14" ht="12.75">
      <c r="A46" s="111" t="s">
        <v>31</v>
      </c>
      <c r="B46" s="111"/>
      <c r="C46" s="111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0.8730604399083223</v>
      </c>
      <c r="M46" s="38">
        <f>K46/F46*3600</f>
        <v>7.549331853686828</v>
      </c>
      <c r="N46" s="38">
        <f>L46/G46*3600</f>
        <v>6.388247121280407</v>
      </c>
    </row>
    <row r="47" spans="1:14" ht="12.75">
      <c r="A47" s="114" t="s">
        <v>32</v>
      </c>
      <c r="B47" s="114"/>
      <c r="C47" s="114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0.6084200493777049</v>
      </c>
      <c r="L47" s="34">
        <f t="shared" si="11"/>
        <v>0.5183861304540468</v>
      </c>
      <c r="M47" s="38">
        <f>K47/F47*3600</f>
        <v>3.42236277774959</v>
      </c>
      <c r="N47" s="38">
        <f>L47/G47*3600</f>
        <v>3.8878959784053513</v>
      </c>
    </row>
    <row r="48" spans="1:15" ht="32.25">
      <c r="A48" s="41"/>
      <c r="B48" s="2"/>
      <c r="C48" s="2"/>
      <c r="D48" s="42" t="s">
        <v>33</v>
      </c>
      <c r="E48" s="42" t="s">
        <v>34</v>
      </c>
      <c r="F48" s="43" t="s">
        <v>35</v>
      </c>
      <c r="G48" s="43" t="s">
        <v>36</v>
      </c>
      <c r="H48" s="43" t="s">
        <v>37</v>
      </c>
      <c r="I48" s="43" t="s">
        <v>38</v>
      </c>
      <c r="J48" s="42"/>
      <c r="K48" s="42" t="s">
        <v>39</v>
      </c>
      <c r="L48" s="42" t="s">
        <v>40</v>
      </c>
      <c r="M48" s="42" t="s">
        <v>41</v>
      </c>
      <c r="N48" s="42" t="s">
        <v>42</v>
      </c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44"/>
      <c r="E50" s="11" t="s">
        <v>43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100" t="s">
        <v>44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 ht="12.75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ht="12.75">
      <c r="B55" s="2"/>
      <c r="C55" s="45"/>
      <c r="D55" s="45"/>
      <c r="E55" s="45"/>
      <c r="F55" s="45"/>
      <c r="G55" s="115" t="s">
        <v>45</v>
      </c>
      <c r="H55" s="116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2:15" ht="12.75">
      <c r="B56" s="2"/>
      <c r="C56" s="2"/>
      <c r="D56" s="2"/>
      <c r="E56" s="2"/>
      <c r="F56" s="17"/>
      <c r="G56" s="115" t="s">
        <v>46</v>
      </c>
      <c r="H56" s="116"/>
      <c r="I56" s="47">
        <f>(f/uzywanyokular)*obaparatu</f>
        <v>807.6923076923076</v>
      </c>
      <c r="K56" s="2"/>
      <c r="L56" s="2"/>
      <c r="M56" s="2"/>
      <c r="N56" s="2"/>
      <c r="O56" s="2"/>
    </row>
    <row r="57" spans="1:15" ht="12.75">
      <c r="A57" s="117" t="s">
        <v>47</v>
      </c>
      <c r="B57" s="117"/>
      <c r="C57" s="118"/>
      <c r="D57" s="48">
        <v>1800</v>
      </c>
      <c r="E57" s="49">
        <f>(f*D57)/206265</f>
        <v>3.665187986328267</v>
      </c>
      <c r="F57" s="50">
        <f>((f/d)*(f/d))/(czuloscfilmu*80)</f>
        <v>0.000375</v>
      </c>
      <c r="G57" s="51">
        <f>(((f/uzywanyokular)*obaparatu)*D57)/206265</f>
        <v>7.048438435246667</v>
      </c>
      <c r="H57" s="52">
        <f>G57*(180/36)</f>
        <v>35.24219217623334</v>
      </c>
      <c r="I57" s="53">
        <f>((((f/uzywanyokular)*obaparatu)/d)*(((f/uzywanyokular)*obaparatu)/d))/(czuloscfilmu*80)</f>
        <v>0.0013868343195266271</v>
      </c>
      <c r="J57" s="2"/>
      <c r="K57" s="2"/>
      <c r="L57" s="2"/>
      <c r="M57" s="2"/>
      <c r="N57" s="2"/>
      <c r="O57" s="2"/>
    </row>
    <row r="58" spans="1:15" ht="12.75">
      <c r="A58" s="117" t="s">
        <v>48</v>
      </c>
      <c r="B58" s="117"/>
      <c r="C58" s="118"/>
      <c r="D58" s="48">
        <v>11</v>
      </c>
      <c r="E58" s="49">
        <f aca="true" t="shared" si="12" ref="E58:E69">(f*D58)/206265</f>
        <v>0.02239837102756163</v>
      </c>
      <c r="F58" s="50">
        <f>((f/d)*(f/d))/(czuloscfilmu*60)</f>
        <v>0.0005</v>
      </c>
      <c r="G58" s="54">
        <f>(((f/uzywanyokular)*obaparatu)*D58)/206265</f>
        <v>0.04307379043761851</v>
      </c>
      <c r="H58" s="55">
        <f aca="true" t="shared" si="13" ref="H58:H71">G58*(180/36)</f>
        <v>0.21536895218809254</v>
      </c>
      <c r="I58" s="50">
        <f>((((f/uzywanyokular)*obaparatu)/d)*(((f/uzywanyokular)*obaparatu)/d))/(czuloscfilmu*60)</f>
        <v>0.0018491124260355029</v>
      </c>
      <c r="J58" s="2"/>
      <c r="K58" s="2"/>
      <c r="L58" s="2"/>
      <c r="M58" s="2"/>
      <c r="N58" s="2"/>
      <c r="O58" s="2"/>
    </row>
    <row r="59" spans="1:15" ht="12.75">
      <c r="A59" s="117" t="s">
        <v>49</v>
      </c>
      <c r="B59" s="117"/>
      <c r="C59" s="118"/>
      <c r="D59" s="48">
        <v>60.2</v>
      </c>
      <c r="E59" s="49">
        <f t="shared" si="12"/>
        <v>0.12258017598720093</v>
      </c>
      <c r="F59" s="50">
        <f>((f/d)*(f/d))/(czuloscfilmu*400)</f>
        <v>7.5E-05</v>
      </c>
      <c r="G59" s="54">
        <f>(((f/uzywanyokular)*obaparatu)*D59)/206265</f>
        <v>0.2357311076676941</v>
      </c>
      <c r="H59" s="55">
        <f t="shared" si="13"/>
        <v>1.1786555383384705</v>
      </c>
      <c r="I59" s="50">
        <f>((((f/uzywanyokular)*obaparatu)/d)*(((f/uzywanyokular)*obaparatu)/d))/(czuloscfilmu*400)</f>
        <v>0.00027736686390532545</v>
      </c>
      <c r="J59" s="2"/>
      <c r="K59" s="56" t="s">
        <v>50</v>
      </c>
      <c r="L59" s="2"/>
      <c r="M59" s="2"/>
      <c r="N59" s="2"/>
      <c r="O59" s="2"/>
    </row>
    <row r="60" spans="1:15" ht="12.75">
      <c r="A60" s="57" t="s">
        <v>51</v>
      </c>
      <c r="B60" s="57"/>
      <c r="C60" s="58"/>
      <c r="D60" s="107">
        <v>1800</v>
      </c>
      <c r="E60" s="108">
        <f t="shared" si="12"/>
        <v>3.665187986328267</v>
      </c>
      <c r="F60" s="50">
        <f>((f/d)*(f/d))/(czuloscfilmu*200)</f>
        <v>0.00015</v>
      </c>
      <c r="G60" s="109">
        <f>(((f/uzywanyokular)*obaparatu)*D60)/206265</f>
        <v>7.048438435246667</v>
      </c>
      <c r="H60" s="110">
        <f t="shared" si="13"/>
        <v>35.24219217623334</v>
      </c>
      <c r="I60" s="50">
        <f>((((f/uzywanyokular)*obaparatu)/d)*(((f/uzywanyokular)*obaparatu)/d))/(czuloscfilmu*200)</f>
        <v>0.0005547337278106509</v>
      </c>
      <c r="J60" s="2"/>
      <c r="K60" s="59"/>
      <c r="L60" s="99" t="s">
        <v>52</v>
      </c>
      <c r="M60" s="99"/>
      <c r="N60" s="99"/>
      <c r="O60" s="99"/>
    </row>
    <row r="61" spans="1:15" ht="12.75">
      <c r="A61" s="57" t="s">
        <v>53</v>
      </c>
      <c r="B61" s="57"/>
      <c r="C61" s="58"/>
      <c r="D61" s="107"/>
      <c r="E61" s="108"/>
      <c r="F61" s="50">
        <f>((f/d)*(f/d))/(czuloscfilmu*80)</f>
        <v>0.000375</v>
      </c>
      <c r="G61" s="109"/>
      <c r="H61" s="110"/>
      <c r="I61" s="50">
        <f>((((f/uzywanyokular)*obaparatu)/d)*(((f/uzywanyokular)*obaparatu)/d))/(czuloscfilmu*80)</f>
        <v>0.0013868343195266271</v>
      </c>
      <c r="J61" s="2"/>
      <c r="K61" s="60"/>
      <c r="L61" s="99" t="s">
        <v>54</v>
      </c>
      <c r="M61" s="99"/>
      <c r="N61" s="99"/>
      <c r="O61" s="99"/>
    </row>
    <row r="62" spans="1:16" ht="12.75">
      <c r="A62" s="57" t="s">
        <v>55</v>
      </c>
      <c r="B62" s="57"/>
      <c r="C62" s="58"/>
      <c r="D62" s="107"/>
      <c r="E62" s="108"/>
      <c r="F62" s="50">
        <f>((f/d)*(f/d))/(czuloscfilmu*40)</f>
        <v>0.00075</v>
      </c>
      <c r="G62" s="109"/>
      <c r="H62" s="110"/>
      <c r="I62" s="50">
        <f>((((f/uzywanyokular)*obaparatu)/d)*(((f/uzywanyokular)*obaparatu)/d))/(czuloscfilmu*40)</f>
        <v>0.0027736686390532543</v>
      </c>
      <c r="J62" s="2"/>
      <c r="K62" s="61"/>
      <c r="L62" s="99" t="s">
        <v>56</v>
      </c>
      <c r="M62" s="99"/>
      <c r="N62" s="99"/>
      <c r="O62" s="99"/>
      <c r="P62" s="99"/>
    </row>
    <row r="63" spans="1:15" ht="12.75">
      <c r="A63" s="57" t="s">
        <v>57</v>
      </c>
      <c r="B63" s="57"/>
      <c r="C63" s="58"/>
      <c r="D63" s="107"/>
      <c r="E63" s="108"/>
      <c r="F63" s="50">
        <f>((f/d)*(f/d))/(czuloscfilmu*20)</f>
        <v>0.0015</v>
      </c>
      <c r="G63" s="109"/>
      <c r="H63" s="110"/>
      <c r="I63" s="50">
        <f>((((f/uzywanyokular)*obaparatu)/d)*(((f/uzywanyokular)*obaparatu)/d))/(czuloscfilmu*20)</f>
        <v>0.005547337278106509</v>
      </c>
      <c r="J63" s="2"/>
      <c r="K63" s="2"/>
      <c r="L63" s="2"/>
      <c r="M63" s="2"/>
      <c r="N63" s="2"/>
      <c r="O63" s="2"/>
    </row>
    <row r="64" spans="1:15" ht="12.75">
      <c r="A64" s="117" t="s">
        <v>58</v>
      </c>
      <c r="B64" s="117"/>
      <c r="C64" s="118"/>
      <c r="D64" s="48">
        <v>17.9</v>
      </c>
      <c r="E64" s="49">
        <f t="shared" si="12"/>
        <v>0.03644825830848665</v>
      </c>
      <c r="F64" s="50">
        <f>((f/d)*(f/d))/(czuloscfilmu*60)</f>
        <v>0.0005</v>
      </c>
      <c r="G64" s="54">
        <f aca="true" t="shared" si="14" ref="G64:G69">(((f/uzywanyokular)*obaparatu)*D64)/206265</f>
        <v>0.0700928044393974</v>
      </c>
      <c r="H64" s="55">
        <f t="shared" si="13"/>
        <v>0.350464022196987</v>
      </c>
      <c r="I64" s="50">
        <f>((((f/uzywanyokular)*obaparatu)/d)*(((f/uzywanyokular)*obaparatu)/d))/(czuloscfilmu*60)</f>
        <v>0.0018491124260355029</v>
      </c>
      <c r="J64" s="2"/>
      <c r="K64" s="2"/>
      <c r="L64" s="2"/>
      <c r="M64" s="2"/>
      <c r="N64" s="2"/>
      <c r="O64" s="2"/>
    </row>
    <row r="65" spans="1:15" ht="12.75">
      <c r="A65" s="130" t="s">
        <v>59</v>
      </c>
      <c r="B65" s="130"/>
      <c r="C65" s="131"/>
      <c r="D65" s="62">
        <v>46</v>
      </c>
      <c r="E65" s="63">
        <f t="shared" si="12"/>
        <v>0.09366591520616682</v>
      </c>
      <c r="F65" s="64">
        <f>((f/d)*(f/d))/(czuloscfilmu*30)</f>
        <v>0.001</v>
      </c>
      <c r="G65" s="65">
        <f t="shared" si="14"/>
        <v>0.18012676001185926</v>
      </c>
      <c r="H65" s="66">
        <f t="shared" si="13"/>
        <v>0.9006338000592963</v>
      </c>
      <c r="I65" s="64">
        <f>((((f/uzywanyokular)*obaparatu)/d)*(((f/uzywanyokular)*obaparatu)/d))/(czuloscfilmu*30)</f>
        <v>0.0036982248520710057</v>
      </c>
      <c r="J65" s="2"/>
      <c r="K65" s="2"/>
      <c r="L65" s="2"/>
      <c r="M65" s="2"/>
      <c r="N65" s="2"/>
      <c r="O65" s="2"/>
    </row>
    <row r="66" spans="1:15" ht="12.75">
      <c r="A66" s="117" t="s">
        <v>60</v>
      </c>
      <c r="B66" s="117"/>
      <c r="C66" s="118"/>
      <c r="D66" s="48">
        <v>19</v>
      </c>
      <c r="E66" s="49">
        <f t="shared" si="12"/>
        <v>0.038688095411242816</v>
      </c>
      <c r="F66" s="119">
        <f>((f/d)*(f/d))/(czuloscfilmu*10)</f>
        <v>0.003</v>
      </c>
      <c r="G66" s="54">
        <f t="shared" si="14"/>
        <v>0.07440018348315926</v>
      </c>
      <c r="H66" s="55">
        <f t="shared" si="13"/>
        <v>0.3720009174157963</v>
      </c>
      <c r="I66" s="119">
        <f>((((f/uzywanyokular)*obaparatu)/d)*(((f/uzywanyokular)*obaparatu)/d))/(czuloscfilmu*10)</f>
        <v>0.011094674556213017</v>
      </c>
      <c r="J66" s="2"/>
      <c r="K66" s="2"/>
      <c r="L66" s="2"/>
      <c r="M66" s="2"/>
      <c r="N66" s="2"/>
      <c r="O66" s="2"/>
    </row>
    <row r="67" spans="1:15" ht="12.75">
      <c r="A67" s="57" t="s">
        <v>61</v>
      </c>
      <c r="B67" s="57"/>
      <c r="C67" s="58"/>
      <c r="D67" s="48">
        <v>42</v>
      </c>
      <c r="E67" s="49">
        <f t="shared" si="12"/>
        <v>0.08552105301432623</v>
      </c>
      <c r="F67" s="120"/>
      <c r="G67" s="54">
        <f t="shared" si="14"/>
        <v>0.1644635634890889</v>
      </c>
      <c r="H67" s="55">
        <f t="shared" si="13"/>
        <v>0.8223178174454444</v>
      </c>
      <c r="I67" s="120"/>
      <c r="J67" s="2"/>
      <c r="K67" s="2"/>
      <c r="L67" s="2"/>
      <c r="M67" s="2"/>
      <c r="N67" s="2"/>
      <c r="O67" s="2"/>
    </row>
    <row r="68" spans="1:15" ht="12.75">
      <c r="A68" s="117" t="s">
        <v>62</v>
      </c>
      <c r="B68" s="117"/>
      <c r="C68" s="118"/>
      <c r="D68" s="48">
        <v>4</v>
      </c>
      <c r="E68" s="49">
        <f t="shared" si="12"/>
        <v>0.008144862191840593</v>
      </c>
      <c r="F68" s="121" t="s">
        <v>63</v>
      </c>
      <c r="G68" s="54">
        <f t="shared" si="14"/>
        <v>0.01566319652277037</v>
      </c>
      <c r="H68" s="55">
        <f t="shared" si="13"/>
        <v>0.07831598261385185</v>
      </c>
      <c r="I68" s="124" t="s">
        <v>63</v>
      </c>
      <c r="J68" s="2"/>
      <c r="K68" s="2"/>
      <c r="L68" s="2"/>
      <c r="M68" s="67"/>
      <c r="N68" s="2"/>
      <c r="O68" s="2"/>
    </row>
    <row r="69" spans="1:15" ht="12.75">
      <c r="A69" s="117" t="s">
        <v>64</v>
      </c>
      <c r="B69" s="117"/>
      <c r="C69" s="118"/>
      <c r="D69" s="48">
        <v>2.1</v>
      </c>
      <c r="E69" s="49">
        <f t="shared" si="12"/>
        <v>0.004276052650716311</v>
      </c>
      <c r="F69" s="122"/>
      <c r="G69" s="54">
        <f t="shared" si="14"/>
        <v>0.008223178174454445</v>
      </c>
      <c r="H69" s="55">
        <f t="shared" si="13"/>
        <v>0.04111589087227223</v>
      </c>
      <c r="I69" s="124"/>
      <c r="J69" s="2"/>
      <c r="K69" s="2"/>
      <c r="L69" s="2"/>
      <c r="M69" s="2"/>
      <c r="N69" s="2"/>
      <c r="O69" s="2"/>
    </row>
    <row r="70" spans="1:15" ht="12.75">
      <c r="A70" s="117" t="s">
        <v>65</v>
      </c>
      <c r="B70" s="117"/>
      <c r="C70" s="118"/>
      <c r="D70" s="48">
        <v>0.1</v>
      </c>
      <c r="E70" s="49">
        <f>(f*D70)/206265</f>
        <v>0.00020362155479601484</v>
      </c>
      <c r="F70" s="123"/>
      <c r="G70" s="54">
        <f>(((f/uzywanyokular)*obaparatu)*D70)/206265</f>
        <v>0.00039157991306925933</v>
      </c>
      <c r="H70" s="55">
        <f t="shared" si="13"/>
        <v>0.0019578995653462966</v>
      </c>
      <c r="I70" s="124"/>
      <c r="J70" s="2"/>
      <c r="K70" s="2"/>
      <c r="L70" s="2"/>
      <c r="M70" s="2"/>
      <c r="N70" s="2"/>
      <c r="O70" s="2"/>
    </row>
    <row r="71" spans="1:15" ht="12.75">
      <c r="A71" s="117" t="s">
        <v>66</v>
      </c>
      <c r="B71" s="117"/>
      <c r="C71" s="118"/>
      <c r="D71" s="48">
        <v>36</v>
      </c>
      <c r="E71" s="49">
        <f>(f*D71)/206265</f>
        <v>0.07330375972656535</v>
      </c>
      <c r="F71" s="50">
        <f>((f/d)*(f/d))/(czuloscfilmu*400)</f>
        <v>7.5E-05</v>
      </c>
      <c r="G71" s="54">
        <f>(((f/uzywanyokular)*obaparatu)*D71)/206265</f>
        <v>0.14096876870493333</v>
      </c>
      <c r="H71" s="55">
        <f t="shared" si="13"/>
        <v>0.7048438435246667</v>
      </c>
      <c r="I71" s="50">
        <f>((((f/uzywanyokular)*obaparatu)/d)*(((f/uzywanyokular)*obaparatu)/d))/(czuloscfilmu*400)</f>
        <v>0.00027736686390532545</v>
      </c>
      <c r="J71" s="2"/>
      <c r="K71" s="2"/>
      <c r="L71" s="2"/>
      <c r="M71" s="125"/>
      <c r="N71" s="125"/>
      <c r="O71" s="2"/>
    </row>
    <row r="72" spans="2:15" ht="126.75">
      <c r="B72" s="2"/>
      <c r="C72" s="2"/>
      <c r="D72" s="68" t="s">
        <v>67</v>
      </c>
      <c r="E72" s="68" t="s">
        <v>68</v>
      </c>
      <c r="F72" s="69" t="s">
        <v>69</v>
      </c>
      <c r="G72" s="126" t="s">
        <v>70</v>
      </c>
      <c r="H72" s="70" t="s">
        <v>71</v>
      </c>
      <c r="I72" s="70" t="s">
        <v>72</v>
      </c>
      <c r="J72" s="2"/>
      <c r="K72" s="2"/>
      <c r="L72" s="2"/>
      <c r="M72" s="2"/>
      <c r="N72" s="2"/>
      <c r="O72" s="2"/>
    </row>
    <row r="73" spans="2:15" ht="12.75">
      <c r="B73" s="2"/>
      <c r="C73" s="2"/>
      <c r="D73" s="128" t="s">
        <v>73</v>
      </c>
      <c r="E73" s="128"/>
      <c r="F73" s="71">
        <v>1200</v>
      </c>
      <c r="G73" s="127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129"/>
      <c r="E74" s="129"/>
      <c r="F74" s="72" t="s">
        <v>74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72" t="s">
        <v>75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94"/>
      <c r="E77" s="94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sheetProtection/>
  <mergeCells count="54"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  <mergeCell ref="I66:I67"/>
    <mergeCell ref="A68:C68"/>
    <mergeCell ref="F68:F70"/>
    <mergeCell ref="I68:I70"/>
    <mergeCell ref="A69:C69"/>
    <mergeCell ref="A70:C70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C41:O41"/>
    <mergeCell ref="A43:C43"/>
    <mergeCell ref="F43:I45"/>
    <mergeCell ref="M43:N45"/>
    <mergeCell ref="A44:C44"/>
    <mergeCell ref="Q23:Q33"/>
    <mergeCell ref="B11:E11"/>
    <mergeCell ref="B12:E13"/>
    <mergeCell ref="G12:H12"/>
    <mergeCell ref="G13:H13"/>
    <mergeCell ref="B14:E14"/>
    <mergeCell ref="G14:H14"/>
    <mergeCell ref="B10:E10"/>
    <mergeCell ref="B3:P3"/>
    <mergeCell ref="B4:P4"/>
    <mergeCell ref="B5:P5"/>
    <mergeCell ref="B8:E8"/>
    <mergeCell ref="B9:E9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a.konieczna</cp:lastModifiedBy>
  <cp:lastPrinted>2014-06-04T11:02:07Z</cp:lastPrinted>
  <dcterms:created xsi:type="dcterms:W3CDTF">2013-06-25T08:05:42Z</dcterms:created>
  <dcterms:modified xsi:type="dcterms:W3CDTF">2015-02-23T12:29:24Z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