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480" windowHeight="11520" activeTab="0"/>
  </bookViews>
  <sheets>
    <sheet name="sprzęt komputer. i multimed." sheetId="1" r:id="rId1"/>
    <sheet name="Arkusz1 (2)" sheetId="2" state="hidden" r:id="rId2"/>
    <sheet name="Arkusz3" sheetId="3" state="hidden" r:id="rId3"/>
    <sheet name="Arkusz1" sheetId="4" r:id="rId4"/>
  </sheets>
  <definedNames>
    <definedName name="czuloscfilmu" localSheetId="1">'Arkusz1 (2)'!$F$73</definedName>
    <definedName name="czuloscfilmu">#REF!</definedName>
    <definedName name="d" localSheetId="1">'Arkusz1 (2)'!$F$8</definedName>
    <definedName name="d">#REF!</definedName>
    <definedName name="f" localSheetId="1">'Arkusz1 (2)'!$F$9</definedName>
    <definedName name="f">#REF!</definedName>
    <definedName name="f_10" localSheetId="1">'Arkusz1 (2)'!$B$24</definedName>
    <definedName name="f_10">#REF!</definedName>
    <definedName name="f_15" localSheetId="1">'Arkusz1 (2)'!$B$25</definedName>
    <definedName name="f_15">#REF!</definedName>
    <definedName name="f_20" localSheetId="1">'Arkusz1 (2)'!$B$26</definedName>
    <definedName name="f_20">#REF!</definedName>
    <definedName name="f_25" localSheetId="1">'Arkusz1 (2)'!$B$27</definedName>
    <definedName name="f_25">#REF!</definedName>
    <definedName name="f_30" localSheetId="1">'Arkusz1 (2)'!$B$28</definedName>
    <definedName name="f_30">#REF!</definedName>
    <definedName name="f_35" localSheetId="1">'Arkusz1 (2)'!$B$29</definedName>
    <definedName name="f_35">#REF!</definedName>
    <definedName name="f_40" localSheetId="1">'Arkusz1 (2)'!$B$30</definedName>
    <definedName name="f_40">#REF!</definedName>
    <definedName name="f_45" localSheetId="1">'Arkusz1 (2)'!$B$31</definedName>
    <definedName name="f_45">#REF!</definedName>
    <definedName name="f_50" localSheetId="1">'Arkusz1 (2)'!$B$32</definedName>
    <definedName name="f_50">#REF!</definedName>
    <definedName name="f_55" localSheetId="1">'Arkusz1 (2)'!$B$33</definedName>
    <definedName name="f_55">#REF!</definedName>
    <definedName name="obaparatu" localSheetId="1">'Arkusz1 (2)'!$G$74</definedName>
    <definedName name="obaparatu">#REF!</definedName>
    <definedName name="uzywanyokular" localSheetId="1">'Arkusz1 (2)'!$G$75</definedName>
    <definedName name="uzywanyokular">#REF!</definedName>
  </definedNames>
  <calcPr fullCalcOnLoad="1"/>
</workbook>
</file>

<file path=xl/sharedStrings.xml><?xml version="1.0" encoding="utf-8"?>
<sst xmlns="http://schemas.openxmlformats.org/spreadsheetml/2006/main" count="100" uniqueCount="97">
  <si>
    <t>Nazwa produktu</t>
  </si>
  <si>
    <t>Liczba sztuk do zamówienia</t>
  </si>
  <si>
    <t>Nr kolejny</t>
  </si>
  <si>
    <t>Teleskop - podstawowe parametry, ver. 1</t>
  </si>
  <si>
    <t>2001 Grzegorz Koralewski, PTMA Szczecin</t>
  </si>
  <si>
    <t>http://www.cosmo.prv.pl/</t>
  </si>
  <si>
    <t>Średnica teleskopu</t>
  </si>
  <si>
    <t>Ogniskowa teleskopu</t>
  </si>
  <si>
    <t>Światłosiła teleskopu</t>
  </si>
  <si>
    <t>Rozdzielczość (teo.) wizualna</t>
  </si>
  <si>
    <t>Zasięg gwiazdowy</t>
  </si>
  <si>
    <t>(na przedmieściach)</t>
  </si>
  <si>
    <t>(na wsi)</t>
  </si>
  <si>
    <t>Wzmocnienie światła</t>
  </si>
  <si>
    <t>względem oka o źrenicy</t>
  </si>
  <si>
    <t>Maks. powiększenie</t>
  </si>
  <si>
    <t>z okularem</t>
  </si>
  <si>
    <t>Min. powiększenie</t>
  </si>
  <si>
    <t>przy źrenicy</t>
  </si>
  <si>
    <t>Wizualne pola widzenia i powiększenia z różnymi okularami</t>
  </si>
  <si>
    <t>Pole widzenia okularu</t>
  </si>
  <si>
    <t>Ogniskowa okularu</t>
  </si>
  <si>
    <t>powiększenie</t>
  </si>
  <si>
    <t>pole widzenia bardzo wąskie (poniżej 10')</t>
  </si>
  <si>
    <t>pole widzenia umiarkowane</t>
  </si>
  <si>
    <t>pole widzenia bardzo szerokie (powyżej 1 stopnia)</t>
  </si>
  <si>
    <t>powiększenie zbyt duże, lub zbyt małe</t>
  </si>
  <si>
    <t>Pole widzenia na filmie lub w kamerze CCD (ognisko główne)</t>
  </si>
  <si>
    <t>Film 36x24mm</t>
  </si>
  <si>
    <t>nie dotyczy</t>
  </si>
  <si>
    <t>Film 6x6 cm</t>
  </si>
  <si>
    <t>Film 9x6 cm</t>
  </si>
  <si>
    <t>Kamera JBC-386</t>
  </si>
  <si>
    <t>DMK21</t>
  </si>
  <si>
    <t>szerokość klatki [mm]</t>
  </si>
  <si>
    <t>wysokość klatki [mm]</t>
  </si>
  <si>
    <t>piksele poziomo</t>
  </si>
  <si>
    <t>piksele pionowo</t>
  </si>
  <si>
    <t>piksel poziomo [mikrony]</t>
  </si>
  <si>
    <t>piksel pionowo [mikrony]</t>
  </si>
  <si>
    <t>pole widzenia poziomo [stopnie]</t>
  </si>
  <si>
    <t>pole widzenia pionowo [stopnie]</t>
  </si>
  <si>
    <t>sekundy łuku na piksel poziomo</t>
  </si>
  <si>
    <t>sekundy łuku na piksel pionowo</t>
  </si>
  <si>
    <t>zbyt długa ogniskowa, nie rejestruje dodatkowych szczegółów, a zmniejsza pole widzenia</t>
  </si>
  <si>
    <t>Czasy naświetlania planet na danym filmie 36x24 mm, dwiema metodami.</t>
  </si>
  <si>
    <t>efektywna światłosiła</t>
  </si>
  <si>
    <t>efektywna ogniskowa</t>
  </si>
  <si>
    <t>Słońce (z filtrem)</t>
  </si>
  <si>
    <t>Merkury</t>
  </si>
  <si>
    <t>Wenus (maksymalnie)</t>
  </si>
  <si>
    <t>Ostrzeżenia:</t>
  </si>
  <si>
    <t>Księżyc (pełny)</t>
  </si>
  <si>
    <t>czas dłuższy niż 1/30 s</t>
  </si>
  <si>
    <t>Księżyc (pękaty)</t>
  </si>
  <si>
    <t>czas krótszy niż 1/500 s</t>
  </si>
  <si>
    <t>Księżyc (kwadra)</t>
  </si>
  <si>
    <t>obiekt nie mieści się w klatce 36x24mm</t>
  </si>
  <si>
    <t>Księżyc (sierp)</t>
  </si>
  <si>
    <t>Mars (opozycja)</t>
  </si>
  <si>
    <t>Jowisz</t>
  </si>
  <si>
    <t>Saturn (planeta)</t>
  </si>
  <si>
    <t>Saturn (pierścienie)</t>
  </si>
  <si>
    <t>Uran</t>
  </si>
  <si>
    <t>?</t>
  </si>
  <si>
    <t>Neptun</t>
  </si>
  <si>
    <t>Pluton</t>
  </si>
  <si>
    <t>Alfa (z panelami)</t>
  </si>
  <si>
    <t>Rozmiar planety ['']. Można edytować.</t>
  </si>
  <si>
    <t>Wielkość planety na negatywie w ognisku głównym [mm].</t>
  </si>
  <si>
    <t>Czas naświetlania w ognisku głównym [s].</t>
  </si>
  <si>
    <t>Wielkość planety na negatywie metodą afokalną z użyciem okularu i obiektywu fotograficznego [mm].</t>
  </si>
  <si>
    <t>Wielkość obrazu planety zrobionego metodą afokalną na odbitce 18x13cm [mm].</t>
  </si>
  <si>
    <t>Czas naświetlania w metodzie afokalnej przy danym filmie, okularze i obiektywie aparatu [s].</t>
  </si>
  <si>
    <t>Czułość filmu</t>
  </si>
  <si>
    <t>Obiektyw</t>
  </si>
  <si>
    <t>Okular</t>
  </si>
  <si>
    <t>załącznik nr 2 do SIWZ</t>
  </si>
  <si>
    <t>WARTOŚĆ BRUTTO OGÓŁEM</t>
  </si>
  <si>
    <t>Cena jednostkowa brutto</t>
  </si>
  <si>
    <t>RAZEM:</t>
  </si>
  <si>
    <t>Opis produktu/minimalne wymagania Zamawiającego</t>
  </si>
  <si>
    <t xml:space="preserve">Laptop </t>
  </si>
  <si>
    <t>Tablet</t>
  </si>
  <si>
    <t>Cyfrowy aparat fotograficzny typu lustrzanka</t>
  </si>
  <si>
    <t>Stojaki pod głośniki</t>
  </si>
  <si>
    <r>
      <t xml:space="preserve">Kolor czarny- Minimalne wymiary: Wysokość 588 mm- Szerokość podstawy dolnej 250mm- Długość podstawy dolnej 300mm- Szerokość podstawy górnej 150mm- Długość podstawy górnej 210mm. W zestawie miękkie podkładki pod głośniki. </t>
    </r>
    <r>
      <rPr>
        <b/>
        <sz val="9"/>
        <rFont val="Calibri"/>
        <family val="2"/>
      </rPr>
      <t>Parametry spełnia stojak Wharfedalle Diamond 10.1/2 Stand lub inny równoważny</t>
    </r>
  </si>
  <si>
    <r>
      <t xml:space="preserve">Cyfrowy aparat fotograficzny typu lustrzanka o rozdzielczości minimum 16 mln pikseli, przetwornik CMOS 23x15 mm minimum, ekran LCD minimum 3 cale, z dołączonym obiektywem zoom minimum 18-105mm oraz kartą pamięci SDHC 1GB Claas 10;
</t>
    </r>
    <r>
      <rPr>
        <b/>
        <sz val="9"/>
        <rFont val="Calibri"/>
        <family val="2"/>
      </rPr>
      <t>Parametry spełnia: Nikon D 3200 z obiektywem 18-105 mm, Sony Alpha SLT-A57 z obiektywem 18-135 mm, Nikon D5200 z obiektywem 18-105 mm lub równoważny</t>
    </r>
  </si>
  <si>
    <t>Telewizor LED</t>
  </si>
  <si>
    <t>Pendrive 32GB</t>
  </si>
  <si>
    <t>Proponowany asortyment  (nazwa produktu, model, producent, opis)</t>
  </si>
  <si>
    <r>
      <t xml:space="preserve">
Ekran: 40- 42 cale, Full HD, format obrazu 16/9, rozdzielczość: 1920 x 1080
Technologia odświeżania: minimum 100 Hz
tuner: analogowo- cyfrowy
teletekst: tak
system fonii: stereo
głośniki: 2 głośniki
moc głośników (W): 10
inne: DLNA, WiDi, Wi-Fi
złącza HDMI: tak
wejścia EURO: tak
wejście PC (D-sub), VGA: nie
inne wejścia/ porty: USB multimedia (min.2), audio PC
załączone wyposażenie: pilot, baterie do pilota, kabel zasilajacy, kabel HDMI, uchwyt uchylny na ściane wraz ze śrubami do mocowania.</t>
    </r>
    <r>
      <rPr>
        <b/>
        <sz val="9"/>
        <rFont val="Calibri"/>
        <family val="2"/>
      </rPr>
      <t xml:space="preserve"> Parametry spełnia:Samsung UE40EH5300, Toshiba 40L6353DG  lub inny równoważny</t>
    </r>
    <r>
      <rPr>
        <sz val="9"/>
        <rFont val="Calibri"/>
        <family val="2"/>
      </rPr>
      <t xml:space="preserve">
</t>
    </r>
  </si>
  <si>
    <r>
      <t>Pojemność pamięci 32 GB, interfejs pamięci USB  3.0, prędkość odczytu  minimum 40 MB/s, prędkość zapisu 10 MB/s,</t>
    </r>
    <r>
      <rPr>
        <b/>
        <sz val="9"/>
        <rFont val="Calibri"/>
        <family val="2"/>
      </rPr>
      <t xml:space="preserve"> Parametry spełnia: Kingston DataTravel 100 G3 32GB, SanDisk 32GB Cruzer Ultra USB 3.0  lub równoważny</t>
    </r>
  </si>
  <si>
    <r>
      <t xml:space="preserve">
Wyświetlacz 9,7 cali LED, rozdzielczość 1200 x 800 pikseli, procesor dwurdzeniowy 1,0 GHz, pamięć operacyjna 1GB, wbudowany dysk 16 GB, slot kart pamięci micro SD lub SD , bluetooth, dwie wbudowane kamery, Czas pracy na bateriach min. 8h, 
Moduł transmisji wideo w standardzie VGA badz HDMI
System operacyjny iOS lub Android 
Wyposażenie dodatkowe:
- etui z klapką zgodne z zaproponowanym tabletem
- karta pamięci microSDHC 16GB Class 10 zgodna z zaproponowanym tabletem
</t>
    </r>
    <r>
      <rPr>
        <b/>
        <sz val="9"/>
        <rFont val="Calibri"/>
        <family val="2"/>
      </rPr>
      <t>Parametry spełnia: NavRoad Nexo 10 3G NavRoad, LARK FreeMe X2 9.7 lub równoważny.</t>
    </r>
    <r>
      <rPr>
        <sz val="9"/>
        <rFont val="Calibri"/>
        <family val="2"/>
      </rPr>
      <t xml:space="preserve">
</t>
    </r>
  </si>
  <si>
    <r>
      <t xml:space="preserve">Procesor Dwurdzeniowy 1.6 GHz  
Pamięć RAM  4 GB 
Dysk twardy  Hybrydowy 500 GB + 24 GB
Przekątna ekranu pomiędzy 13 a 14,1  cala; 
Ekran rozdzielczość  1366x768
Złącza HDMI, słuchawkowe, mikrofonowe, 3xUSB, VGA
Kamera internetowa:  tak
Łączność 10/100/1000 Gigabit Ethernet LAN, WiFi 802.11 b/g/n,  Bluetooth 
Czytnik kart pamięci:  tak
Załączone wyposażenie Akumulator; Zasilacz + przewód
System operacyjny Oryginalny licencjonowany Windows 7 lub nowszy 
Mysz przewodowa USB, min. rozdzielczość 400 dpi
Waga Max. 2 kg
</t>
    </r>
    <r>
      <rPr>
        <b/>
        <sz val="9"/>
        <rFont val="Calibri"/>
        <family val="2"/>
      </rPr>
      <t>Parametry spełnia: Samsung 530U3C-A05PL, ASUS S46CM-WX052H, Vaio SVT1312M1E  lub równoważny.</t>
    </r>
  </si>
  <si>
    <t>112/ZP/RCRE/POKL9.1.2/2014</t>
  </si>
  <si>
    <t>7=5x6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</si>
</sst>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  <numFmt numFmtId="165" formatCode="#,##0.00\ &quot;zł&quot;"/>
    <numFmt numFmtId="166" formatCode="0\ &quot;mm&quot;"/>
    <numFmt numFmtId="167" formatCode="&quot;f/&quot;\ 0.0"/>
    <numFmt numFmtId="168" formatCode="0.0&quot;''&quot;"/>
    <numFmt numFmtId="169" formatCode="0.0\ &quot;m&quot;"/>
    <numFmt numFmtId="170" formatCode="0.0\ &quot;x&quot;"/>
    <numFmt numFmtId="171" formatCode="0&quot;x&quot;"/>
    <numFmt numFmtId="172" formatCode="0\ &quot;x&quot;"/>
    <numFmt numFmtId="173" formatCode="0&quot;'&quot;"/>
    <numFmt numFmtId="174" formatCode="0.0"/>
    <numFmt numFmtId="175" formatCode="0.00&quot;''&quot;"/>
    <numFmt numFmtId="176" formatCode="&quot;f/ &quot;0.0\ "/>
    <numFmt numFmtId="177" formatCode="0.00\ &quot;mm&quot;"/>
    <numFmt numFmtId="178" formatCode="0.0000\ &quot;s&quot;"/>
    <numFmt numFmtId="179" formatCode="0.0\ &quot;mm&quot;"/>
    <numFmt numFmtId="180" formatCode="#,##0.00\ _z_ł;[Red]#,##\&lt;\1\ 0.00\ _z_ł"/>
    <numFmt numFmtId="181" formatCode="0\ &quot;ASA&quot;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0"/>
    </font>
    <font>
      <b/>
      <sz val="16"/>
      <name val="Arial CE"/>
      <family val="2"/>
    </font>
    <font>
      <b/>
      <sz val="8"/>
      <name val="Arial CE"/>
      <family val="2"/>
    </font>
    <font>
      <b/>
      <u val="single"/>
      <sz val="8"/>
      <color indexed="12"/>
      <name val="Arial CE"/>
      <family val="2"/>
    </font>
    <font>
      <b/>
      <sz val="8"/>
      <color indexed="8"/>
      <name val="Arial CE"/>
      <family val="2"/>
    </font>
    <font>
      <b/>
      <sz val="8"/>
      <color indexed="9"/>
      <name val="Arial CE"/>
      <family val="2"/>
    </font>
    <font>
      <sz val="8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7"/>
      <name val="Arial CE"/>
      <family val="2"/>
    </font>
    <font>
      <b/>
      <i/>
      <sz val="7"/>
      <color indexed="9"/>
      <name val="Arial CE"/>
      <family val="2"/>
    </font>
    <font>
      <b/>
      <i/>
      <sz val="8"/>
      <name val="Arial CE"/>
      <family val="2"/>
    </font>
    <font>
      <b/>
      <sz val="9"/>
      <name val="Calibri"/>
      <family val="2"/>
    </font>
    <font>
      <sz val="9"/>
      <name val="Calibri"/>
      <family val="2"/>
    </font>
    <font>
      <u val="single"/>
      <sz val="10"/>
      <color indexed="12"/>
      <name val="Arial"/>
      <family val="2"/>
    </font>
    <font>
      <sz val="8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u val="single"/>
      <sz val="10"/>
      <color theme="10"/>
      <name val="Arial"/>
      <family val="2"/>
    </font>
    <font>
      <sz val="11"/>
      <color theme="1"/>
      <name val="Czcionka tekstu podstawowego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40" fillId="0" borderId="0">
      <alignment/>
      <protection/>
    </xf>
    <xf numFmtId="0" fontId="1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138">
    <xf numFmtId="0" fontId="0" fillId="0" borderId="0" xfId="0" applyAlignment="1">
      <alignment/>
    </xf>
    <xf numFmtId="0" fontId="31" fillId="24" borderId="10" xfId="53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166" fontId="24" fillId="25" borderId="0" xfId="0" applyNumberFormat="1" applyFont="1" applyFill="1" applyBorder="1" applyAlignment="1" applyProtection="1">
      <alignment/>
      <protection locked="0"/>
    </xf>
    <xf numFmtId="167" fontId="25" fillId="0" borderId="0" xfId="0" applyNumberFormat="1" applyFont="1" applyFill="1" applyAlignment="1">
      <alignment horizontal="center"/>
    </xf>
    <xf numFmtId="168" fontId="25" fillId="0" borderId="0" xfId="0" applyNumberFormat="1" applyFont="1" applyFill="1" applyAlignment="1">
      <alignment horizontal="center"/>
    </xf>
    <xf numFmtId="169" fontId="25" fillId="0" borderId="0" xfId="0" applyNumberFormat="1" applyFont="1" applyFill="1" applyAlignment="1">
      <alignment horizontal="center"/>
    </xf>
    <xf numFmtId="170" fontId="25" fillId="0" borderId="0" xfId="0" applyNumberFormat="1" applyFont="1" applyFill="1" applyAlignment="1">
      <alignment horizontal="center"/>
    </xf>
    <xf numFmtId="166" fontId="25" fillId="0" borderId="0" xfId="0" applyNumberFormat="1" applyFont="1" applyAlignment="1">
      <alignment horizontal="left"/>
    </xf>
    <xf numFmtId="171" fontId="25" fillId="0" borderId="0" xfId="0" applyNumberFormat="1" applyFont="1" applyFill="1" applyAlignment="1">
      <alignment horizontal="center"/>
    </xf>
    <xf numFmtId="0" fontId="25" fillId="0" borderId="0" xfId="0" applyFont="1" applyAlignment="1">
      <alignment horizontal="left"/>
    </xf>
    <xf numFmtId="166" fontId="25" fillId="0" borderId="0" xfId="0" applyNumberFormat="1" applyFont="1" applyAlignment="1">
      <alignment horizontal="center"/>
    </xf>
    <xf numFmtId="166" fontId="24" fillId="25" borderId="0" xfId="0" applyNumberFormat="1" applyFont="1" applyFill="1" applyAlignment="1" applyProtection="1">
      <alignment horizontal="center"/>
      <protection locked="0"/>
    </xf>
    <xf numFmtId="172" fontId="26" fillId="0" borderId="0" xfId="0" applyNumberFormat="1" applyFont="1" applyFill="1" applyAlignment="1">
      <alignment/>
    </xf>
    <xf numFmtId="0" fontId="26" fillId="0" borderId="0" xfId="0" applyFont="1" applyAlignment="1">
      <alignment horizontal="center"/>
    </xf>
    <xf numFmtId="169" fontId="26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1" fontId="25" fillId="8" borderId="0" xfId="0" applyNumberFormat="1" applyFont="1" applyFill="1" applyAlignment="1">
      <alignment horizontal="center"/>
    </xf>
    <xf numFmtId="0" fontId="25" fillId="8" borderId="0" xfId="0" applyFont="1" applyFill="1" applyAlignment="1">
      <alignment horizontal="center"/>
    </xf>
    <xf numFmtId="173" fontId="25" fillId="0" borderId="10" xfId="0" applyNumberFormat="1" applyFont="1" applyBorder="1" applyAlignment="1">
      <alignment horizontal="center"/>
    </xf>
    <xf numFmtId="173" fontId="25" fillId="0" borderId="11" xfId="0" applyNumberFormat="1" applyFont="1" applyBorder="1" applyAlignment="1">
      <alignment horizontal="center"/>
    </xf>
    <xf numFmtId="171" fontId="25" fillId="8" borderId="12" xfId="0" applyNumberFormat="1" applyFont="1" applyFill="1" applyBorder="1" applyAlignment="1">
      <alignment horizontal="center"/>
    </xf>
    <xf numFmtId="173" fontId="21" fillId="0" borderId="10" xfId="0" applyNumberFormat="1" applyFont="1" applyBorder="1" applyAlignment="1">
      <alignment horizontal="center"/>
    </xf>
    <xf numFmtId="173" fontId="25" fillId="0" borderId="10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0" fontId="0" fillId="17" borderId="0" xfId="0" applyFill="1" applyBorder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7" borderId="0" xfId="0" applyFill="1" applyBorder="1" applyAlignment="1">
      <alignment horizontal="center"/>
    </xf>
    <xf numFmtId="0" fontId="0" fillId="26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174" fontId="25" fillId="0" borderId="10" xfId="0" applyNumberFormat="1" applyFont="1" applyBorder="1" applyAlignment="1">
      <alignment horizontal="center"/>
    </xf>
    <xf numFmtId="0" fontId="25" fillId="8" borderId="0" xfId="0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8" fillId="8" borderId="0" xfId="0" applyFont="1" applyFill="1" applyAlignment="1">
      <alignment horizontal="left"/>
    </xf>
    <xf numFmtId="2" fontId="25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175" fontId="25" fillId="0" borderId="10" xfId="0" applyNumberFormat="1" applyFont="1" applyFill="1" applyBorder="1" applyAlignment="1">
      <alignment horizontal="center"/>
    </xf>
    <xf numFmtId="2" fontId="30" fillId="0" borderId="10" xfId="0" applyNumberFormat="1" applyFont="1" applyBorder="1" applyAlignment="1" applyProtection="1">
      <alignment horizontal="center"/>
      <protection locked="0"/>
    </xf>
    <xf numFmtId="0" fontId="30" fillId="0" borderId="1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 wrapText="1"/>
    </xf>
    <xf numFmtId="0" fontId="28" fillId="8" borderId="0" xfId="0" applyFont="1" applyFill="1" applyAlignment="1">
      <alignment horizontal="center" vertical="top" textRotation="90" wrapText="1"/>
    </xf>
    <xf numFmtId="0" fontId="28" fillId="27" borderId="0" xfId="0" applyFont="1" applyFill="1" applyAlignment="1">
      <alignment horizontal="center" vertical="top" textRotation="90" wrapText="1"/>
    </xf>
    <xf numFmtId="0" fontId="0" fillId="17" borderId="0" xfId="0" applyFill="1" applyAlignment="1">
      <alignment horizontal="center"/>
    </xf>
    <xf numFmtId="0" fontId="27" fillId="0" borderId="0" xfId="0" applyFont="1" applyAlignment="1">
      <alignment horizontal="center"/>
    </xf>
    <xf numFmtId="176" fontId="25" fillId="5" borderId="13" xfId="0" applyNumberFormat="1" applyFont="1" applyFill="1" applyBorder="1" applyAlignment="1">
      <alignment/>
    </xf>
    <xf numFmtId="166" fontId="25" fillId="5" borderId="13" xfId="0" applyNumberFormat="1" applyFont="1" applyFill="1" applyBorder="1" applyAlignment="1">
      <alignment/>
    </xf>
    <xf numFmtId="168" fontId="25" fillId="0" borderId="13" xfId="0" applyNumberFormat="1" applyFont="1" applyBorder="1" applyAlignment="1" applyProtection="1">
      <alignment horizontal="center"/>
      <protection locked="0"/>
    </xf>
    <xf numFmtId="177" fontId="25" fillId="0" borderId="10" xfId="0" applyNumberFormat="1" applyFont="1" applyBorder="1" applyAlignment="1">
      <alignment horizontal="center"/>
    </xf>
    <xf numFmtId="178" fontId="25" fillId="0" borderId="10" xfId="0" applyNumberFormat="1" applyFont="1" applyBorder="1" applyAlignment="1">
      <alignment horizontal="center"/>
    </xf>
    <xf numFmtId="177" fontId="25" fillId="0" borderId="14" xfId="0" applyNumberFormat="1" applyFont="1" applyFill="1" applyBorder="1" applyAlignment="1">
      <alignment horizontal="center"/>
    </xf>
    <xf numFmtId="179" fontId="25" fillId="0" borderId="14" xfId="0" applyNumberFormat="1" applyFont="1" applyBorder="1" applyAlignment="1">
      <alignment horizontal="center"/>
    </xf>
    <xf numFmtId="178" fontId="25" fillId="0" borderId="14" xfId="0" applyNumberFormat="1" applyFont="1" applyBorder="1" applyAlignment="1">
      <alignment horizontal="center"/>
    </xf>
    <xf numFmtId="177" fontId="25" fillId="0" borderId="10" xfId="0" applyNumberFormat="1" applyFont="1" applyFill="1" applyBorder="1" applyAlignment="1">
      <alignment horizontal="center"/>
    </xf>
    <xf numFmtId="179" fontId="25" fillId="0" borderId="1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5" fillId="8" borderId="0" xfId="0" applyFont="1" applyFill="1" applyBorder="1" applyAlignment="1">
      <alignment horizontal="left"/>
    </xf>
    <xf numFmtId="0" fontId="25" fillId="8" borderId="15" xfId="0" applyFont="1" applyFill="1" applyBorder="1" applyAlignment="1">
      <alignment horizontal="left"/>
    </xf>
    <xf numFmtId="0" fontId="0" fillId="7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0" fillId="20" borderId="0" xfId="0" applyFill="1" applyAlignment="1">
      <alignment horizontal="center"/>
    </xf>
    <xf numFmtId="168" fontId="21" fillId="0" borderId="13" xfId="0" applyNumberFormat="1" applyFont="1" applyBorder="1" applyAlignment="1" applyProtection="1">
      <alignment horizontal="center"/>
      <protection locked="0"/>
    </xf>
    <xf numFmtId="177" fontId="21" fillId="0" borderId="10" xfId="0" applyNumberFormat="1" applyFont="1" applyBorder="1" applyAlignment="1">
      <alignment horizontal="center"/>
    </xf>
    <xf numFmtId="178" fontId="21" fillId="0" borderId="10" xfId="0" applyNumberFormat="1" applyFont="1" applyBorder="1" applyAlignment="1">
      <alignment horizontal="center"/>
    </xf>
    <xf numFmtId="177" fontId="21" fillId="0" borderId="10" xfId="0" applyNumberFormat="1" applyFont="1" applyFill="1" applyBorder="1" applyAlignment="1">
      <alignment horizontal="center"/>
    </xf>
    <xf numFmtId="179" fontId="21" fillId="0" borderId="10" xfId="0" applyNumberFormat="1" applyFont="1" applyBorder="1" applyAlignment="1">
      <alignment horizontal="center"/>
    </xf>
    <xf numFmtId="180" fontId="0" fillId="0" borderId="0" xfId="0" applyNumberFormat="1" applyAlignment="1">
      <alignment horizontal="center"/>
    </xf>
    <xf numFmtId="0" fontId="25" fillId="8" borderId="10" xfId="0" applyFont="1" applyFill="1" applyBorder="1" applyAlignment="1">
      <alignment horizontal="center" textRotation="90" wrapText="1"/>
    </xf>
    <xf numFmtId="0" fontId="25" fillId="8" borderId="14" xfId="0" applyFont="1" applyFill="1" applyBorder="1" applyAlignment="1">
      <alignment horizontal="center" textRotation="90" wrapText="1"/>
    </xf>
    <xf numFmtId="0" fontId="25" fillId="5" borderId="10" xfId="0" applyFont="1" applyFill="1" applyBorder="1" applyAlignment="1">
      <alignment horizontal="center" textRotation="90" wrapText="1"/>
    </xf>
    <xf numFmtId="181" fontId="24" fillId="25" borderId="10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Alignment="1">
      <alignment horizontal="right"/>
    </xf>
    <xf numFmtId="166" fontId="24" fillId="25" borderId="10" xfId="0" applyNumberFormat="1" applyFont="1" applyFill="1" applyBorder="1" applyAlignment="1" applyProtection="1">
      <alignment horizontal="left"/>
      <protection locked="0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164" fontId="32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vertical="center" wrapText="1"/>
    </xf>
    <xf numFmtId="165" fontId="31" fillId="24" borderId="10" xfId="0" applyNumberFormat="1" applyFont="1" applyFill="1" applyBorder="1" applyAlignment="1">
      <alignment horizontal="center" vertical="center"/>
    </xf>
    <xf numFmtId="0" fontId="32" fillId="28" borderId="0" xfId="0" applyFont="1" applyFill="1" applyAlignment="1">
      <alignment horizontal="center" vertical="center"/>
    </xf>
    <xf numFmtId="0" fontId="34" fillId="0" borderId="10" xfId="53" applyFont="1" applyFill="1" applyBorder="1" applyAlignment="1">
      <alignment horizontal="center" vertical="center" wrapText="1"/>
      <protection/>
    </xf>
    <xf numFmtId="165" fontId="34" fillId="0" borderId="10" xfId="53" applyNumberFormat="1" applyFont="1" applyFill="1" applyBorder="1" applyAlignment="1">
      <alignment horizontal="left" vertical="center" wrapText="1"/>
      <protection/>
    </xf>
    <xf numFmtId="165" fontId="34" fillId="0" borderId="10" xfId="53" applyNumberFormat="1" applyFont="1" applyFill="1" applyBorder="1" applyAlignment="1">
      <alignment horizontal="center" vertical="center" wrapText="1"/>
      <protection/>
    </xf>
    <xf numFmtId="0" fontId="31" fillId="0" borderId="10" xfId="53" applyFont="1" applyFill="1" applyBorder="1" applyAlignment="1">
      <alignment horizontal="left" vertical="center" wrapText="1"/>
      <protection/>
    </xf>
    <xf numFmtId="0" fontId="32" fillId="0" borderId="10" xfId="53" applyFont="1" applyFill="1" applyBorder="1" applyAlignment="1">
      <alignment horizontal="left" vertical="center" wrapText="1"/>
      <protection/>
    </xf>
    <xf numFmtId="0" fontId="31" fillId="0" borderId="10" xfId="0" applyFont="1" applyFill="1" applyBorder="1" applyAlignment="1">
      <alignment vertical="center"/>
    </xf>
    <xf numFmtId="0" fontId="31" fillId="0" borderId="10" xfId="0" applyFont="1" applyFill="1" applyBorder="1" applyAlignment="1">
      <alignment vertical="center" wrapText="1"/>
    </xf>
    <xf numFmtId="0" fontId="32" fillId="0" borderId="10" xfId="53" applyFont="1" applyFill="1" applyBorder="1" applyAlignment="1">
      <alignment horizontal="center" vertical="center" wrapText="1"/>
      <protection/>
    </xf>
    <xf numFmtId="0" fontId="32" fillId="0" borderId="10" xfId="53" applyNumberFormat="1" applyFont="1" applyFill="1" applyBorder="1" applyAlignment="1">
      <alignment horizontal="center" vertical="center" wrapText="1"/>
      <protection/>
    </xf>
    <xf numFmtId="0" fontId="35" fillId="28" borderId="16" xfId="0" applyFont="1" applyFill="1" applyBorder="1" applyAlignment="1">
      <alignment horizontal="center" vertical="center"/>
    </xf>
    <xf numFmtId="0" fontId="32" fillId="0" borderId="10" xfId="53" applyFont="1" applyFill="1" applyBorder="1" applyAlignment="1">
      <alignment horizontal="left" vertical="top" wrapText="1"/>
      <protection/>
    </xf>
    <xf numFmtId="0" fontId="32" fillId="0" borderId="10" xfId="53" applyFont="1" applyFill="1" applyBorder="1" applyAlignment="1">
      <alignment horizontal="left" wrapText="1"/>
      <protection/>
    </xf>
    <xf numFmtId="0" fontId="38" fillId="29" borderId="16" xfId="0" applyFont="1" applyFill="1" applyBorder="1" applyAlignment="1">
      <alignment horizontal="center" vertical="center"/>
    </xf>
    <xf numFmtId="0" fontId="31" fillId="24" borderId="11" xfId="0" applyFont="1" applyFill="1" applyBorder="1" applyAlignment="1">
      <alignment horizontal="right" vertical="center"/>
    </xf>
    <xf numFmtId="0" fontId="31" fillId="24" borderId="17" xfId="0" applyFont="1" applyFill="1" applyBorder="1" applyAlignment="1">
      <alignment horizontal="right" vertical="center"/>
    </xf>
    <xf numFmtId="0" fontId="31" fillId="24" borderId="13" xfId="0" applyFont="1" applyFill="1" applyBorder="1" applyAlignment="1">
      <alignment horizontal="right" vertical="center"/>
    </xf>
    <xf numFmtId="164" fontId="36" fillId="28" borderId="16" xfId="0" applyNumberFormat="1" applyFont="1" applyFill="1" applyBorder="1" applyAlignment="1">
      <alignment horizontal="center" vertical="center"/>
    </xf>
    <xf numFmtId="164" fontId="37" fillId="28" borderId="16" xfId="0" applyNumberFormat="1" applyFont="1" applyFill="1" applyBorder="1" applyAlignment="1">
      <alignment horizontal="center" vertical="center"/>
    </xf>
    <xf numFmtId="179" fontId="0" fillId="0" borderId="0" xfId="0" applyNumberFormat="1" applyAlignment="1">
      <alignment horizontal="center"/>
    </xf>
    <xf numFmtId="0" fontId="25" fillId="5" borderId="18" xfId="0" applyFont="1" applyFill="1" applyBorder="1" applyAlignment="1">
      <alignment horizontal="center" textRotation="90" wrapText="1"/>
    </xf>
    <xf numFmtId="0" fontId="25" fillId="5" borderId="14" xfId="0" applyFont="1" applyFill="1" applyBorder="1" applyAlignment="1">
      <alignment horizontal="center" textRotation="90" wrapText="1"/>
    </xf>
    <xf numFmtId="0" fontId="25" fillId="0" borderId="0" xfId="0" applyFont="1" applyFill="1" applyAlignment="1">
      <alignment horizontal="right" wrapText="1"/>
    </xf>
    <xf numFmtId="0" fontId="21" fillId="0" borderId="0" xfId="0" applyFont="1" applyFill="1" applyAlignment="1">
      <alignment horizontal="right" wrapText="1"/>
    </xf>
    <xf numFmtId="0" fontId="21" fillId="0" borderId="0" xfId="0" applyFont="1" applyAlignment="1">
      <alignment horizontal="center"/>
    </xf>
    <xf numFmtId="0" fontId="25" fillId="8" borderId="0" xfId="0" applyFont="1" applyFill="1" applyBorder="1" applyAlignment="1">
      <alignment horizontal="left"/>
    </xf>
    <xf numFmtId="0" fontId="25" fillId="8" borderId="15" xfId="0" applyFont="1" applyFill="1" applyBorder="1" applyAlignment="1">
      <alignment horizontal="left"/>
    </xf>
    <xf numFmtId="0" fontId="21" fillId="8" borderId="0" xfId="0" applyFont="1" applyFill="1" applyBorder="1" applyAlignment="1">
      <alignment horizontal="left"/>
    </xf>
    <xf numFmtId="0" fontId="21" fillId="8" borderId="15" xfId="0" applyFont="1" applyFill="1" applyBorder="1" applyAlignment="1">
      <alignment horizontal="left"/>
    </xf>
    <xf numFmtId="178" fontId="25" fillId="0" borderId="19" xfId="0" applyNumberFormat="1" applyFont="1" applyBorder="1" applyAlignment="1">
      <alignment horizontal="center" vertical="center"/>
    </xf>
    <xf numFmtId="178" fontId="25" fillId="0" borderId="14" xfId="0" applyNumberFormat="1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29" fillId="25" borderId="0" xfId="0" applyFont="1" applyFill="1" applyAlignment="1" applyProtection="1">
      <alignment horizontal="left"/>
      <protection locked="0"/>
    </xf>
    <xf numFmtId="0" fontId="27" fillId="0" borderId="0" xfId="0" applyFont="1" applyAlignment="1">
      <alignment horizontal="center"/>
    </xf>
    <xf numFmtId="0" fontId="25" fillId="5" borderId="11" xfId="0" applyFont="1" applyFill="1" applyBorder="1" applyAlignment="1">
      <alignment horizontal="left"/>
    </xf>
    <xf numFmtId="0" fontId="25" fillId="5" borderId="17" xfId="0" applyFont="1" applyFill="1" applyBorder="1" applyAlignment="1">
      <alignment horizontal="left"/>
    </xf>
    <xf numFmtId="168" fontId="25" fillId="0" borderId="13" xfId="0" applyNumberFormat="1" applyFont="1" applyBorder="1" applyAlignment="1" applyProtection="1">
      <alignment horizontal="center" vertical="center"/>
      <protection locked="0"/>
    </xf>
    <xf numFmtId="177" fontId="25" fillId="0" borderId="10" xfId="0" applyNumberFormat="1" applyFont="1" applyBorder="1" applyAlignment="1">
      <alignment horizontal="center" vertical="center"/>
    </xf>
    <xf numFmtId="177" fontId="25" fillId="0" borderId="10" xfId="0" applyNumberFormat="1" applyFont="1" applyFill="1" applyBorder="1" applyAlignment="1">
      <alignment horizontal="center" vertical="center"/>
    </xf>
    <xf numFmtId="179" fontId="25" fillId="0" borderId="10" xfId="0" applyNumberFormat="1" applyFont="1" applyBorder="1" applyAlignment="1">
      <alignment horizontal="center" vertical="center"/>
    </xf>
    <xf numFmtId="0" fontId="28" fillId="27" borderId="0" xfId="0" applyFont="1" applyFill="1" applyAlignment="1">
      <alignment horizontal="left"/>
    </xf>
    <xf numFmtId="0" fontId="21" fillId="0" borderId="0" xfId="0" applyFont="1" applyAlignment="1">
      <alignment horizontal="left"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right" vertical="center" textRotation="90"/>
    </xf>
    <xf numFmtId="0" fontId="28" fillId="8" borderId="0" xfId="0" applyFont="1" applyFill="1" applyAlignment="1">
      <alignment horizontal="left"/>
    </xf>
    <xf numFmtId="0" fontId="25" fillId="0" borderId="20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left" vertical="center" textRotation="180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2" fillId="0" borderId="0" xfId="44" applyFont="1" applyAlignment="1" applyProtection="1">
      <alignment horizontal="center"/>
      <protection/>
    </xf>
    <xf numFmtId="0" fontId="23" fillId="0" borderId="0" xfId="0" applyFont="1" applyFill="1" applyAlignment="1">
      <alignment horizontal="left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Arkusz1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10">
    <dxf>
      <fill>
        <patternFill>
          <bgColor indexed="46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smo.prv.pl/" TargetMode="External" /><Relationship Id="rId2" Type="http://schemas.openxmlformats.org/officeDocument/2006/relationships/hyperlink" Target="http://www.cosmo.prv.pl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zoomScalePageLayoutView="0" workbookViewId="0" topLeftCell="A1">
      <selection activeCell="G4" sqref="G4"/>
    </sheetView>
  </sheetViews>
  <sheetFormatPr defaultColWidth="9.140625" defaultRowHeight="12.75"/>
  <cols>
    <col min="1" max="1" width="7.00390625" style="74" customWidth="1"/>
    <col min="2" max="2" width="16.7109375" style="77" customWidth="1"/>
    <col min="3" max="3" width="68.421875" style="77" customWidth="1"/>
    <col min="4" max="4" width="22.7109375" style="76" customWidth="1"/>
    <col min="5" max="5" width="10.28125" style="74" customWidth="1"/>
    <col min="6" max="6" width="11.57421875" style="74" customWidth="1"/>
    <col min="7" max="7" width="12.7109375" style="74" customWidth="1"/>
    <col min="9" max="16384" width="9.140625" style="75" customWidth="1"/>
  </cols>
  <sheetData>
    <row r="1" spans="1:7" ht="39" customHeight="1">
      <c r="A1" s="92" t="s">
        <v>95</v>
      </c>
      <c r="B1" s="92"/>
      <c r="C1" s="89"/>
      <c r="D1" s="79"/>
      <c r="E1" s="96" t="s">
        <v>77</v>
      </c>
      <c r="F1" s="97"/>
      <c r="G1" s="97"/>
    </row>
    <row r="2" spans="1:8" ht="62.25" customHeight="1">
      <c r="A2" s="1" t="s">
        <v>2</v>
      </c>
      <c r="B2" s="1" t="s">
        <v>0</v>
      </c>
      <c r="C2" s="1" t="s">
        <v>81</v>
      </c>
      <c r="D2" s="1" t="s">
        <v>90</v>
      </c>
      <c r="E2" s="1" t="s">
        <v>1</v>
      </c>
      <c r="F2" s="1" t="s">
        <v>79</v>
      </c>
      <c r="G2" s="1" t="s">
        <v>78</v>
      </c>
      <c r="H2" s="75"/>
    </row>
    <row r="3" spans="1:8" ht="12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 t="s">
        <v>96</v>
      </c>
      <c r="H3" s="75"/>
    </row>
    <row r="4" spans="1:8" ht="66.75" customHeight="1">
      <c r="A4" s="80">
        <v>1</v>
      </c>
      <c r="B4" s="83" t="s">
        <v>85</v>
      </c>
      <c r="C4" s="84" t="s">
        <v>86</v>
      </c>
      <c r="D4" s="81"/>
      <c r="E4" s="87">
        <v>6</v>
      </c>
      <c r="F4" s="82"/>
      <c r="G4" s="82">
        <f aca="true" t="shared" si="0" ref="G4:G9">E4*F4</f>
        <v>0</v>
      </c>
      <c r="H4" s="75"/>
    </row>
    <row r="5" spans="1:8" ht="192" customHeight="1">
      <c r="A5" s="80">
        <v>2</v>
      </c>
      <c r="B5" s="83" t="s">
        <v>82</v>
      </c>
      <c r="C5" s="84" t="s">
        <v>94</v>
      </c>
      <c r="D5" s="81"/>
      <c r="E5" s="87">
        <v>6</v>
      </c>
      <c r="F5" s="82"/>
      <c r="G5" s="82">
        <f t="shared" si="0"/>
        <v>0</v>
      </c>
      <c r="H5" s="75"/>
    </row>
    <row r="6" spans="1:8" ht="129.75" customHeight="1">
      <c r="A6" s="80">
        <v>3</v>
      </c>
      <c r="B6" s="83" t="s">
        <v>83</v>
      </c>
      <c r="C6" s="90" t="s">
        <v>93</v>
      </c>
      <c r="D6" s="81"/>
      <c r="E6" s="87">
        <v>6</v>
      </c>
      <c r="F6" s="82"/>
      <c r="G6" s="82">
        <f t="shared" si="0"/>
        <v>0</v>
      </c>
      <c r="H6" s="75"/>
    </row>
    <row r="7" spans="1:8" ht="51" customHeight="1">
      <c r="A7" s="80">
        <v>4</v>
      </c>
      <c r="B7" s="85" t="s">
        <v>89</v>
      </c>
      <c r="C7" s="84" t="s">
        <v>92</v>
      </c>
      <c r="D7" s="81"/>
      <c r="E7" s="88">
        <v>6</v>
      </c>
      <c r="F7" s="82"/>
      <c r="G7" s="82">
        <f t="shared" si="0"/>
        <v>0</v>
      </c>
      <c r="H7" s="75"/>
    </row>
    <row r="8" spans="1:8" ht="74.25" customHeight="1">
      <c r="A8" s="80">
        <v>5</v>
      </c>
      <c r="B8" s="86" t="s">
        <v>84</v>
      </c>
      <c r="C8" s="84" t="s">
        <v>87</v>
      </c>
      <c r="D8" s="81"/>
      <c r="E8" s="87">
        <v>1</v>
      </c>
      <c r="F8" s="82"/>
      <c r="G8" s="82">
        <f t="shared" si="0"/>
        <v>0</v>
      </c>
      <c r="H8" s="75"/>
    </row>
    <row r="9" spans="1:8" ht="198" customHeight="1">
      <c r="A9" s="80">
        <v>6</v>
      </c>
      <c r="B9" s="86" t="s">
        <v>88</v>
      </c>
      <c r="C9" s="91" t="s">
        <v>91</v>
      </c>
      <c r="D9" s="81"/>
      <c r="E9" s="87">
        <v>2</v>
      </c>
      <c r="F9" s="82"/>
      <c r="G9" s="82">
        <f t="shared" si="0"/>
        <v>0</v>
      </c>
      <c r="H9" s="75"/>
    </row>
    <row r="10" spans="1:8" ht="25.5" customHeight="1">
      <c r="A10" s="93" t="s">
        <v>80</v>
      </c>
      <c r="B10" s="94"/>
      <c r="C10" s="94"/>
      <c r="D10" s="94"/>
      <c r="E10" s="94"/>
      <c r="F10" s="95"/>
      <c r="G10" s="78">
        <f>SUM(G4:G9)</f>
        <v>0</v>
      </c>
      <c r="H10" s="75"/>
    </row>
    <row r="11" ht="12">
      <c r="H11" s="75"/>
    </row>
    <row r="12" ht="12">
      <c r="H12" s="75"/>
    </row>
    <row r="13" ht="12">
      <c r="H13" s="75"/>
    </row>
    <row r="14" ht="12">
      <c r="H14" s="75"/>
    </row>
    <row r="15" ht="12">
      <c r="H15" s="75"/>
    </row>
    <row r="16" ht="12">
      <c r="H16" s="75"/>
    </row>
    <row r="17" ht="12">
      <c r="H17" s="75"/>
    </row>
    <row r="18" ht="12">
      <c r="H18" s="75"/>
    </row>
    <row r="19" ht="12">
      <c r="H19" s="75"/>
    </row>
    <row r="20" ht="12">
      <c r="H20" s="75"/>
    </row>
  </sheetData>
  <sheetProtection/>
  <mergeCells count="3">
    <mergeCell ref="A1:B1"/>
    <mergeCell ref="A10:F10"/>
    <mergeCell ref="E1:G1"/>
  </mergeCells>
  <printOptions/>
  <pageMargins left="0.2362204724409449" right="0.2362204724409449" top="0.3937007874015748" bottom="0.3937007874015748" header="0" footer="0"/>
  <pageSetup fitToHeight="0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5"/>
  <sheetViews>
    <sheetView zoomScale="130" zoomScaleNormal="130" zoomScalePageLayoutView="0" workbookViewId="0" topLeftCell="A1">
      <selection activeCell="F59" sqref="F59"/>
    </sheetView>
  </sheetViews>
  <sheetFormatPr defaultColWidth="9.140625" defaultRowHeight="12.75"/>
  <sheetData>
    <row r="1" spans="2:15" ht="12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ht="12.7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6" ht="20.25">
      <c r="B3" s="135" t="s">
        <v>3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2:16" ht="12.75">
      <c r="B4" s="103" t="s">
        <v>4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</row>
    <row r="5" spans="2:16" ht="12.75">
      <c r="B5" s="136" t="s">
        <v>5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</row>
    <row r="6" spans="2:16" ht="2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2:15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2:15" ht="12.75">
      <c r="B8" s="137" t="s">
        <v>6</v>
      </c>
      <c r="C8" s="137"/>
      <c r="D8" s="137"/>
      <c r="E8" s="137"/>
      <c r="F8" s="4">
        <v>70</v>
      </c>
      <c r="G8" s="2"/>
      <c r="H8" s="2"/>
      <c r="I8" s="2"/>
      <c r="J8" s="2"/>
      <c r="K8" s="2"/>
      <c r="L8" s="2"/>
      <c r="M8" s="2"/>
      <c r="N8" s="2"/>
      <c r="O8" s="2"/>
    </row>
    <row r="9" spans="2:15" ht="12.75">
      <c r="B9" s="137" t="s">
        <v>7</v>
      </c>
      <c r="C9" s="137"/>
      <c r="D9" s="137"/>
      <c r="E9" s="137"/>
      <c r="F9" s="4">
        <v>420</v>
      </c>
      <c r="G9" s="2"/>
      <c r="H9" s="2"/>
      <c r="I9" s="2"/>
      <c r="J9" s="2"/>
      <c r="K9" s="2"/>
      <c r="L9" s="2"/>
      <c r="M9" s="2"/>
      <c r="N9" s="2"/>
      <c r="O9" s="2"/>
    </row>
    <row r="10" spans="2:15" ht="12.75">
      <c r="B10" s="134" t="s">
        <v>8</v>
      </c>
      <c r="C10" s="134"/>
      <c r="D10" s="134"/>
      <c r="E10" s="134"/>
      <c r="F10" s="5">
        <f>f/d</f>
        <v>6</v>
      </c>
      <c r="G10" s="2"/>
      <c r="H10" s="2"/>
      <c r="I10" s="2"/>
      <c r="J10" s="2"/>
      <c r="K10" s="2"/>
      <c r="L10" s="2"/>
      <c r="M10" s="2"/>
      <c r="N10" s="2"/>
      <c r="O10" s="2"/>
    </row>
    <row r="11" spans="2:15" ht="12.75">
      <c r="B11" s="124" t="s">
        <v>9</v>
      </c>
      <c r="C11" s="124"/>
      <c r="D11" s="124"/>
      <c r="E11" s="124"/>
      <c r="F11" s="6">
        <f>120/d</f>
        <v>1.7142857142857142</v>
      </c>
      <c r="G11" s="2"/>
      <c r="H11" s="2"/>
      <c r="I11" s="2"/>
      <c r="J11" s="2"/>
      <c r="K11" s="2"/>
      <c r="L11" s="2"/>
      <c r="M11" s="2"/>
      <c r="N11" s="2"/>
      <c r="O11" s="2"/>
    </row>
    <row r="12" spans="2:15" ht="12.75">
      <c r="B12" s="133" t="s">
        <v>10</v>
      </c>
      <c r="C12" s="133"/>
      <c r="D12" s="133"/>
      <c r="E12" s="133"/>
      <c r="F12" s="7">
        <f>LN(d)*2.403</f>
        <v>10.20913406664461</v>
      </c>
      <c r="G12" s="114" t="s">
        <v>11</v>
      </c>
      <c r="H12" s="114"/>
      <c r="I12" s="2"/>
      <c r="J12" s="2"/>
      <c r="K12" s="2"/>
      <c r="L12" s="2"/>
      <c r="M12" s="2"/>
      <c r="N12" s="2"/>
      <c r="O12" s="2"/>
    </row>
    <row r="13" spans="2:15" ht="12.75">
      <c r="B13" s="133"/>
      <c r="C13" s="133"/>
      <c r="D13" s="133"/>
      <c r="E13" s="133"/>
      <c r="F13" s="7">
        <f>LN(d)*2.753</f>
        <v>11.696107401361887</v>
      </c>
      <c r="G13" s="114" t="s">
        <v>12</v>
      </c>
      <c r="H13" s="114"/>
      <c r="I13" s="2"/>
      <c r="J13" s="2"/>
      <c r="K13" s="2"/>
      <c r="L13" s="2"/>
      <c r="M13" s="2"/>
      <c r="N13" s="2"/>
      <c r="O13" s="2"/>
    </row>
    <row r="14" spans="2:15" ht="12.75">
      <c r="B14" s="124" t="s">
        <v>13</v>
      </c>
      <c r="C14" s="124"/>
      <c r="D14" s="124"/>
      <c r="E14" s="124"/>
      <c r="F14" s="8">
        <f>(3.141592*((d/2)*(d/2)))/(3.141592*((J16/2)*(J16/2)))</f>
        <v>196</v>
      </c>
      <c r="G14" s="114" t="s">
        <v>14</v>
      </c>
      <c r="H14" s="114"/>
      <c r="I14" s="9">
        <f>J16</f>
        <v>5</v>
      </c>
      <c r="J14" s="2"/>
      <c r="K14" s="2"/>
      <c r="L14" s="2"/>
      <c r="M14" s="2"/>
      <c r="N14" s="2"/>
      <c r="O14" s="2"/>
    </row>
    <row r="15" spans="2:15" ht="12.75">
      <c r="B15" s="124" t="s">
        <v>15</v>
      </c>
      <c r="C15" s="124"/>
      <c r="D15" s="124"/>
      <c r="E15" s="124"/>
      <c r="F15" s="10">
        <f>d*2</f>
        <v>140</v>
      </c>
      <c r="G15" s="11" t="s">
        <v>16</v>
      </c>
      <c r="H15" s="12">
        <f>f/F15</f>
        <v>3</v>
      </c>
      <c r="I15" s="2"/>
      <c r="J15" s="2"/>
      <c r="K15" s="2"/>
      <c r="L15" s="2"/>
      <c r="M15" s="2"/>
      <c r="N15" s="2"/>
      <c r="O15" s="2"/>
    </row>
    <row r="16" spans="2:15" ht="12.75">
      <c r="B16" s="124" t="s">
        <v>17</v>
      </c>
      <c r="C16" s="124"/>
      <c r="D16" s="124"/>
      <c r="E16" s="124"/>
      <c r="F16" s="10">
        <f>(d/J16)</f>
        <v>14</v>
      </c>
      <c r="G16" s="11" t="s">
        <v>16</v>
      </c>
      <c r="H16" s="12">
        <f>f/(d/J16)</f>
        <v>30</v>
      </c>
      <c r="I16" s="11" t="s">
        <v>18</v>
      </c>
      <c r="J16" s="13">
        <v>5</v>
      </c>
      <c r="K16" s="2"/>
      <c r="L16" s="2"/>
      <c r="M16" s="2"/>
      <c r="N16" s="2"/>
      <c r="O16" s="2"/>
    </row>
    <row r="17" spans="1:15" ht="12.75">
      <c r="A17" s="14"/>
      <c r="B17" s="15"/>
      <c r="C17" s="15"/>
      <c r="D17" s="15"/>
      <c r="E17" s="15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2:15" ht="12.75">
      <c r="B18" s="15"/>
      <c r="C18" s="15"/>
      <c r="D18" s="15"/>
      <c r="E18" s="15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2.75">
      <c r="A19" s="16"/>
      <c r="B19" s="15"/>
      <c r="C19" s="116" t="s">
        <v>19</v>
      </c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</row>
    <row r="20" spans="2:15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2:15" ht="12.75">
      <c r="B21" s="2"/>
      <c r="C21" s="125" t="s">
        <v>20</v>
      </c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2:15" ht="12.75">
      <c r="B22" s="17"/>
      <c r="C22" s="18">
        <v>30</v>
      </c>
      <c r="D22" s="18">
        <v>35</v>
      </c>
      <c r="E22" s="18">
        <v>40</v>
      </c>
      <c r="F22" s="18">
        <v>45</v>
      </c>
      <c r="G22" s="18">
        <v>50</v>
      </c>
      <c r="H22" s="18">
        <v>55</v>
      </c>
      <c r="I22" s="18">
        <v>60</v>
      </c>
      <c r="J22" s="18">
        <v>65</v>
      </c>
      <c r="K22" s="18">
        <v>70</v>
      </c>
      <c r="L22" s="18">
        <v>75</v>
      </c>
      <c r="M22" s="18">
        <v>80</v>
      </c>
      <c r="N22" s="18">
        <v>85</v>
      </c>
      <c r="O22" s="18">
        <v>90</v>
      </c>
    </row>
    <row r="23" spans="1:17" ht="12.75">
      <c r="A23" s="126" t="s">
        <v>21</v>
      </c>
      <c r="B23" s="19">
        <v>5</v>
      </c>
      <c r="C23" s="20">
        <f>(B23/f*C22)*60</f>
        <v>21.428571428571427</v>
      </c>
      <c r="D23" s="20">
        <f>(B23/f*D22)*60</f>
        <v>24.999999999999996</v>
      </c>
      <c r="E23" s="20">
        <f>(B23/f*E22)*60</f>
        <v>28.57142857142857</v>
      </c>
      <c r="F23" s="20">
        <f>(B23/f*F22)*60</f>
        <v>32.14285714285714</v>
      </c>
      <c r="G23" s="20">
        <f>(B23/f*G22)*60</f>
        <v>35.714285714285715</v>
      </c>
      <c r="H23" s="20">
        <f>(B23/f*H22)*60</f>
        <v>39.285714285714285</v>
      </c>
      <c r="I23" s="20">
        <f>(B23/f*I22)*60</f>
        <v>42.857142857142854</v>
      </c>
      <c r="J23" s="20">
        <f>(B23/f*J22)*60</f>
        <v>46.42857142857142</v>
      </c>
      <c r="K23" s="20">
        <f>(B23/f*K22)*60</f>
        <v>49.99999999999999</v>
      </c>
      <c r="L23" s="20">
        <f>(B23/f*L22)*60</f>
        <v>53.57142857142857</v>
      </c>
      <c r="M23" s="20">
        <f>(B23/f*M22)*60</f>
        <v>57.14285714285714</v>
      </c>
      <c r="N23" s="20">
        <f>(B23/f*N22)*60</f>
        <v>60.71428571428571</v>
      </c>
      <c r="O23" s="21">
        <f>(B23/f*O22)*60</f>
        <v>64.28571428571428</v>
      </c>
      <c r="P23" s="22">
        <f>f/B23</f>
        <v>84</v>
      </c>
      <c r="Q23" s="132" t="s">
        <v>22</v>
      </c>
    </row>
    <row r="24" spans="1:17" ht="12.75">
      <c r="A24" s="126"/>
      <c r="B24" s="19">
        <v>10</v>
      </c>
      <c r="C24" s="20">
        <f>f_10/f*C22*60</f>
        <v>42.857142857142854</v>
      </c>
      <c r="D24" s="20">
        <f aca="true" t="shared" si="0" ref="D24:O24">f_10/f*D22*60</f>
        <v>49.99999999999999</v>
      </c>
      <c r="E24" s="20">
        <f t="shared" si="0"/>
        <v>57.14285714285714</v>
      </c>
      <c r="F24" s="20">
        <f t="shared" si="0"/>
        <v>64.28571428571428</v>
      </c>
      <c r="G24" s="20">
        <f t="shared" si="0"/>
        <v>71.42857142857143</v>
      </c>
      <c r="H24" s="20">
        <f t="shared" si="0"/>
        <v>78.57142857142857</v>
      </c>
      <c r="I24" s="23">
        <f t="shared" si="0"/>
        <v>85.71428571428571</v>
      </c>
      <c r="J24" s="24">
        <f t="shared" si="0"/>
        <v>92.85714285714285</v>
      </c>
      <c r="K24" s="20">
        <f t="shared" si="0"/>
        <v>99.99999999999999</v>
      </c>
      <c r="L24" s="20">
        <f t="shared" si="0"/>
        <v>107.14285714285714</v>
      </c>
      <c r="M24" s="20">
        <f t="shared" si="0"/>
        <v>114.28571428571428</v>
      </c>
      <c r="N24" s="20">
        <f t="shared" si="0"/>
        <v>121.42857142857142</v>
      </c>
      <c r="O24" s="21">
        <f t="shared" si="0"/>
        <v>128.57142857142856</v>
      </c>
      <c r="P24" s="22">
        <f aca="true" t="shared" si="1" ref="P24:P33">f/B24</f>
        <v>42</v>
      </c>
      <c r="Q24" s="132"/>
    </row>
    <row r="25" spans="1:17" ht="12.75">
      <c r="A25" s="126"/>
      <c r="B25" s="19">
        <v>15</v>
      </c>
      <c r="C25" s="20">
        <f>f_15/f*C22*60</f>
        <v>64.28571428571428</v>
      </c>
      <c r="D25" s="20">
        <f aca="true" t="shared" si="2" ref="D25:O25">f_15/f*D22*60</f>
        <v>75</v>
      </c>
      <c r="E25" s="20">
        <f t="shared" si="2"/>
        <v>85.71428571428571</v>
      </c>
      <c r="F25" s="20">
        <f t="shared" si="2"/>
        <v>96.42857142857142</v>
      </c>
      <c r="G25" s="20">
        <f t="shared" si="2"/>
        <v>107.14285714285714</v>
      </c>
      <c r="H25" s="20">
        <f t="shared" si="2"/>
        <v>117.85714285714285</v>
      </c>
      <c r="I25" s="20">
        <f t="shared" si="2"/>
        <v>128.57142857142856</v>
      </c>
      <c r="J25" s="20">
        <f t="shared" si="2"/>
        <v>139.28571428571428</v>
      </c>
      <c r="K25" s="20">
        <f t="shared" si="2"/>
        <v>150</v>
      </c>
      <c r="L25" s="20">
        <f t="shared" si="2"/>
        <v>160.7142857142857</v>
      </c>
      <c r="M25" s="20">
        <f t="shared" si="2"/>
        <v>171.42857142857142</v>
      </c>
      <c r="N25" s="20">
        <f t="shared" si="2"/>
        <v>182.14285714285714</v>
      </c>
      <c r="O25" s="21">
        <f t="shared" si="2"/>
        <v>192.85714285714283</v>
      </c>
      <c r="P25" s="22">
        <f t="shared" si="1"/>
        <v>28</v>
      </c>
      <c r="Q25" s="132"/>
    </row>
    <row r="26" spans="1:17" ht="12.75">
      <c r="A26" s="126"/>
      <c r="B26" s="19">
        <v>20</v>
      </c>
      <c r="C26" s="20">
        <f>f_20/f*C22*60</f>
        <v>85.71428571428571</v>
      </c>
      <c r="D26" s="20">
        <f aca="true" t="shared" si="3" ref="D26:O26">f_20/f*D22*60</f>
        <v>99.99999999999999</v>
      </c>
      <c r="E26" s="20">
        <f t="shared" si="3"/>
        <v>114.28571428571428</v>
      </c>
      <c r="F26" s="20">
        <f t="shared" si="3"/>
        <v>128.57142857142856</v>
      </c>
      <c r="G26" s="20">
        <f t="shared" si="3"/>
        <v>142.85714285714286</v>
      </c>
      <c r="H26" s="24">
        <f t="shared" si="3"/>
        <v>157.14285714285714</v>
      </c>
      <c r="I26" s="20">
        <f t="shared" si="3"/>
        <v>171.42857142857142</v>
      </c>
      <c r="J26" s="20">
        <f t="shared" si="3"/>
        <v>185.7142857142857</v>
      </c>
      <c r="K26" s="20">
        <f t="shared" si="3"/>
        <v>199.99999999999997</v>
      </c>
      <c r="L26" s="20">
        <f t="shared" si="3"/>
        <v>214.28571428571428</v>
      </c>
      <c r="M26" s="20">
        <f t="shared" si="3"/>
        <v>228.57142857142856</v>
      </c>
      <c r="N26" s="20">
        <f t="shared" si="3"/>
        <v>242.85714285714283</v>
      </c>
      <c r="O26" s="21">
        <f t="shared" si="3"/>
        <v>257.1428571428571</v>
      </c>
      <c r="P26" s="22">
        <f t="shared" si="1"/>
        <v>21</v>
      </c>
      <c r="Q26" s="132"/>
    </row>
    <row r="27" spans="1:17" ht="12.75">
      <c r="A27" s="126"/>
      <c r="B27" s="19">
        <v>25</v>
      </c>
      <c r="C27" s="20">
        <f>f_25/f*C22*60</f>
        <v>107.14285714285714</v>
      </c>
      <c r="D27" s="20">
        <f aca="true" t="shared" si="4" ref="D27:O27">f_25/f*D22*60</f>
        <v>124.99999999999999</v>
      </c>
      <c r="E27" s="20">
        <f t="shared" si="4"/>
        <v>142.85714285714286</v>
      </c>
      <c r="F27" s="23">
        <f t="shared" si="4"/>
        <v>160.7142857142857</v>
      </c>
      <c r="G27" s="20">
        <f t="shared" si="4"/>
        <v>178.57142857142856</v>
      </c>
      <c r="H27" s="20">
        <f t="shared" si="4"/>
        <v>196.42857142857142</v>
      </c>
      <c r="I27" s="24">
        <f t="shared" si="4"/>
        <v>214.28571428571428</v>
      </c>
      <c r="J27" s="20">
        <f t="shared" si="4"/>
        <v>232.1428571428571</v>
      </c>
      <c r="K27" s="20">
        <f t="shared" si="4"/>
        <v>249.99999999999997</v>
      </c>
      <c r="L27" s="20">
        <f t="shared" si="4"/>
        <v>267.8571428571429</v>
      </c>
      <c r="M27" s="20">
        <f t="shared" si="4"/>
        <v>285.7142857142857</v>
      </c>
      <c r="N27" s="20">
        <f t="shared" si="4"/>
        <v>303.57142857142856</v>
      </c>
      <c r="O27" s="21">
        <f t="shared" si="4"/>
        <v>321.4285714285714</v>
      </c>
      <c r="P27" s="22">
        <f t="shared" si="1"/>
        <v>16.8</v>
      </c>
      <c r="Q27" s="132"/>
    </row>
    <row r="28" spans="1:17" ht="12.75">
      <c r="A28" s="126"/>
      <c r="B28" s="19">
        <v>30</v>
      </c>
      <c r="C28" s="20">
        <f>f_30/f*C22*60</f>
        <v>128.57142857142856</v>
      </c>
      <c r="D28" s="20">
        <f aca="true" t="shared" si="5" ref="D28:O28">f_30/f*D22*60</f>
        <v>150</v>
      </c>
      <c r="E28" s="20">
        <f t="shared" si="5"/>
        <v>171.42857142857142</v>
      </c>
      <c r="F28" s="20">
        <f t="shared" si="5"/>
        <v>192.85714285714283</v>
      </c>
      <c r="G28" s="23">
        <f>f_30/f*G22*60</f>
        <v>214.28571428571428</v>
      </c>
      <c r="H28" s="20">
        <f t="shared" si="5"/>
        <v>235.7142857142857</v>
      </c>
      <c r="I28" s="20">
        <f t="shared" si="5"/>
        <v>257.1428571428571</v>
      </c>
      <c r="J28" s="20">
        <f t="shared" si="5"/>
        <v>278.57142857142856</v>
      </c>
      <c r="K28" s="20">
        <f t="shared" si="5"/>
        <v>300</v>
      </c>
      <c r="L28" s="20">
        <f t="shared" si="5"/>
        <v>321.4285714285714</v>
      </c>
      <c r="M28" s="20">
        <f t="shared" si="5"/>
        <v>342.85714285714283</v>
      </c>
      <c r="N28" s="20">
        <f t="shared" si="5"/>
        <v>364.2857142857143</v>
      </c>
      <c r="O28" s="21">
        <f t="shared" si="5"/>
        <v>385.71428571428567</v>
      </c>
      <c r="P28" s="22">
        <f t="shared" si="1"/>
        <v>14</v>
      </c>
      <c r="Q28" s="132"/>
    </row>
    <row r="29" spans="1:17" ht="12.75">
      <c r="A29" s="126"/>
      <c r="B29" s="19">
        <v>35</v>
      </c>
      <c r="C29" s="20">
        <f>f_35/f*C22*60</f>
        <v>150</v>
      </c>
      <c r="D29" s="20">
        <f aca="true" t="shared" si="6" ref="D29:O29">f_35/f*D22*60</f>
        <v>175</v>
      </c>
      <c r="E29" s="20">
        <f t="shared" si="6"/>
        <v>199.99999999999997</v>
      </c>
      <c r="F29" s="20">
        <f t="shared" si="6"/>
        <v>225</v>
      </c>
      <c r="G29" s="20">
        <f t="shared" si="6"/>
        <v>249.99999999999997</v>
      </c>
      <c r="H29" s="20">
        <f t="shared" si="6"/>
        <v>275</v>
      </c>
      <c r="I29" s="20">
        <f t="shared" si="6"/>
        <v>300</v>
      </c>
      <c r="J29" s="20">
        <f t="shared" si="6"/>
        <v>324.99999999999994</v>
      </c>
      <c r="K29" s="20">
        <f t="shared" si="6"/>
        <v>350</v>
      </c>
      <c r="L29" s="20">
        <f t="shared" si="6"/>
        <v>375</v>
      </c>
      <c r="M29" s="20">
        <f t="shared" si="6"/>
        <v>399.99999999999994</v>
      </c>
      <c r="N29" s="20">
        <f t="shared" si="6"/>
        <v>425</v>
      </c>
      <c r="O29" s="21">
        <f t="shared" si="6"/>
        <v>450</v>
      </c>
      <c r="P29" s="22">
        <f t="shared" si="1"/>
        <v>12</v>
      </c>
      <c r="Q29" s="132"/>
    </row>
    <row r="30" spans="1:17" ht="12.75">
      <c r="A30" s="126"/>
      <c r="B30" s="19">
        <v>40</v>
      </c>
      <c r="C30" s="20">
        <f>f_40/f*C22*60</f>
        <v>171.42857142857142</v>
      </c>
      <c r="D30" s="20">
        <f aca="true" t="shared" si="7" ref="D30:O30">f_40/f*D22*60</f>
        <v>199.99999999999997</v>
      </c>
      <c r="E30" s="20">
        <f t="shared" si="7"/>
        <v>228.57142857142856</v>
      </c>
      <c r="F30" s="20">
        <f t="shared" si="7"/>
        <v>257.1428571428571</v>
      </c>
      <c r="G30" s="20">
        <f t="shared" si="7"/>
        <v>285.7142857142857</v>
      </c>
      <c r="H30" s="20">
        <f t="shared" si="7"/>
        <v>314.2857142857143</v>
      </c>
      <c r="I30" s="20">
        <f t="shared" si="7"/>
        <v>342.85714285714283</v>
      </c>
      <c r="J30" s="20">
        <f t="shared" si="7"/>
        <v>371.4285714285714</v>
      </c>
      <c r="K30" s="20">
        <f t="shared" si="7"/>
        <v>399.99999999999994</v>
      </c>
      <c r="L30" s="20">
        <f t="shared" si="7"/>
        <v>428.57142857142856</v>
      </c>
      <c r="M30" s="20">
        <f t="shared" si="7"/>
        <v>457.1428571428571</v>
      </c>
      <c r="N30" s="20">
        <f t="shared" si="7"/>
        <v>485.71428571428567</v>
      </c>
      <c r="O30" s="21">
        <f t="shared" si="7"/>
        <v>514.2857142857142</v>
      </c>
      <c r="P30" s="22">
        <f t="shared" si="1"/>
        <v>10.5</v>
      </c>
      <c r="Q30" s="132"/>
    </row>
    <row r="31" spans="1:17" ht="12.75">
      <c r="A31" s="126"/>
      <c r="B31" s="19">
        <v>45</v>
      </c>
      <c r="C31" s="20">
        <f>f_45/f*C22*60</f>
        <v>192.85714285714283</v>
      </c>
      <c r="D31" s="20">
        <f aca="true" t="shared" si="8" ref="D31:O31">f_45/f*D22*60</f>
        <v>225</v>
      </c>
      <c r="E31" s="20">
        <f t="shared" si="8"/>
        <v>257.1428571428571</v>
      </c>
      <c r="F31" s="20">
        <f t="shared" si="8"/>
        <v>289.2857142857143</v>
      </c>
      <c r="G31" s="20">
        <f t="shared" si="8"/>
        <v>321.4285714285714</v>
      </c>
      <c r="H31" s="20">
        <f t="shared" si="8"/>
        <v>353.57142857142856</v>
      </c>
      <c r="I31" s="20">
        <f t="shared" si="8"/>
        <v>385.71428571428567</v>
      </c>
      <c r="J31" s="20">
        <f t="shared" si="8"/>
        <v>417.85714285714283</v>
      </c>
      <c r="K31" s="20">
        <f t="shared" si="8"/>
        <v>450</v>
      </c>
      <c r="L31" s="20">
        <f t="shared" si="8"/>
        <v>482.1428571428571</v>
      </c>
      <c r="M31" s="20">
        <f t="shared" si="8"/>
        <v>514.2857142857142</v>
      </c>
      <c r="N31" s="20">
        <f t="shared" si="8"/>
        <v>546.4285714285713</v>
      </c>
      <c r="O31" s="21">
        <f t="shared" si="8"/>
        <v>578.5714285714286</v>
      </c>
      <c r="P31" s="22">
        <f t="shared" si="1"/>
        <v>9.333333333333334</v>
      </c>
      <c r="Q31" s="132"/>
    </row>
    <row r="32" spans="1:17" ht="12.75">
      <c r="A32" s="126"/>
      <c r="B32" s="19">
        <v>50</v>
      </c>
      <c r="C32" s="20">
        <f>f_50/f*C22*60</f>
        <v>214.28571428571428</v>
      </c>
      <c r="D32" s="20">
        <f aca="true" t="shared" si="9" ref="D32:O32">f_50/f*D22*60</f>
        <v>249.99999999999997</v>
      </c>
      <c r="E32" s="20">
        <f t="shared" si="9"/>
        <v>285.7142857142857</v>
      </c>
      <c r="F32" s="20">
        <f t="shared" si="9"/>
        <v>321.4285714285714</v>
      </c>
      <c r="G32" s="20">
        <f t="shared" si="9"/>
        <v>357.1428571428571</v>
      </c>
      <c r="H32" s="20">
        <f t="shared" si="9"/>
        <v>392.85714285714283</v>
      </c>
      <c r="I32" s="20">
        <f t="shared" si="9"/>
        <v>428.57142857142856</v>
      </c>
      <c r="J32" s="20">
        <f t="shared" si="9"/>
        <v>464.2857142857142</v>
      </c>
      <c r="K32" s="20">
        <f t="shared" si="9"/>
        <v>499.99999999999994</v>
      </c>
      <c r="L32" s="20">
        <f t="shared" si="9"/>
        <v>535.7142857142858</v>
      </c>
      <c r="M32" s="20">
        <f t="shared" si="9"/>
        <v>571.4285714285714</v>
      </c>
      <c r="N32" s="20">
        <f t="shared" si="9"/>
        <v>607.1428571428571</v>
      </c>
      <c r="O32" s="21">
        <f t="shared" si="9"/>
        <v>642.8571428571428</v>
      </c>
      <c r="P32" s="22">
        <f t="shared" si="1"/>
        <v>8.4</v>
      </c>
      <c r="Q32" s="132"/>
    </row>
    <row r="33" spans="1:17" ht="12.75">
      <c r="A33" s="126"/>
      <c r="B33" s="19">
        <v>55</v>
      </c>
      <c r="C33" s="20">
        <f>f_55/f*C22*60</f>
        <v>235.71428571428572</v>
      </c>
      <c r="D33" s="20">
        <f aca="true" t="shared" si="10" ref="D33:O33">f_55/f*D22*60</f>
        <v>275.00000000000006</v>
      </c>
      <c r="E33" s="20">
        <f t="shared" si="10"/>
        <v>314.2857142857143</v>
      </c>
      <c r="F33" s="20">
        <f t="shared" si="10"/>
        <v>353.5714285714286</v>
      </c>
      <c r="G33" s="20">
        <f t="shared" si="10"/>
        <v>392.8571428571429</v>
      </c>
      <c r="H33" s="20">
        <f t="shared" si="10"/>
        <v>432.14285714285717</v>
      </c>
      <c r="I33" s="20">
        <f t="shared" si="10"/>
        <v>471.42857142857144</v>
      </c>
      <c r="J33" s="20">
        <f t="shared" si="10"/>
        <v>510.7142857142858</v>
      </c>
      <c r="K33" s="20">
        <f t="shared" si="10"/>
        <v>550.0000000000001</v>
      </c>
      <c r="L33" s="20">
        <f t="shared" si="10"/>
        <v>589.2857142857142</v>
      </c>
      <c r="M33" s="20">
        <f t="shared" si="10"/>
        <v>628.5714285714286</v>
      </c>
      <c r="N33" s="20">
        <f t="shared" si="10"/>
        <v>667.8571428571429</v>
      </c>
      <c r="O33" s="21">
        <f t="shared" si="10"/>
        <v>707.1428571428572</v>
      </c>
      <c r="P33" s="22">
        <f t="shared" si="1"/>
        <v>7.636363636363637</v>
      </c>
      <c r="Q33" s="132"/>
    </row>
    <row r="34" spans="2:16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5"/>
    </row>
    <row r="35" spans="2:15" ht="12.75">
      <c r="B35" s="2"/>
      <c r="C35" s="2"/>
      <c r="D35" s="26"/>
      <c r="E35" s="11" t="s">
        <v>23</v>
      </c>
      <c r="F35" s="27"/>
      <c r="G35" s="27"/>
      <c r="H35" s="2"/>
      <c r="I35" s="2"/>
      <c r="J35" s="2"/>
      <c r="K35" s="2"/>
      <c r="L35" s="28"/>
      <c r="M35" s="2"/>
      <c r="N35" s="2"/>
      <c r="O35" s="2"/>
    </row>
    <row r="36" spans="2:15" ht="12.75">
      <c r="B36" s="2"/>
      <c r="C36" s="2"/>
      <c r="D36" s="29"/>
      <c r="E36" s="11" t="s">
        <v>24</v>
      </c>
      <c r="F36" s="27"/>
      <c r="G36" s="27"/>
      <c r="H36" s="2"/>
      <c r="I36" s="2"/>
      <c r="J36" s="2"/>
      <c r="K36" s="2"/>
      <c r="L36" s="28"/>
      <c r="M36" s="2"/>
      <c r="N36" s="2"/>
      <c r="O36" s="2"/>
    </row>
    <row r="37" spans="2:15" ht="12.75">
      <c r="B37" s="2"/>
      <c r="C37" s="2"/>
      <c r="D37" s="30"/>
      <c r="E37" s="11" t="s">
        <v>25</v>
      </c>
      <c r="F37" s="27"/>
      <c r="G37" s="27"/>
      <c r="H37" s="2"/>
      <c r="I37" s="2"/>
      <c r="J37" s="2"/>
      <c r="K37" s="2"/>
      <c r="L37" s="28"/>
      <c r="M37" s="2"/>
      <c r="N37" s="2"/>
      <c r="O37" s="2"/>
    </row>
    <row r="38" spans="2:15" ht="12.75">
      <c r="B38" s="2"/>
      <c r="C38" s="2"/>
      <c r="D38" s="31"/>
      <c r="E38" s="11" t="s">
        <v>26</v>
      </c>
      <c r="F38" s="27"/>
      <c r="G38" s="27"/>
      <c r="H38" s="2"/>
      <c r="I38" s="2"/>
      <c r="J38" s="2"/>
      <c r="K38" s="2"/>
      <c r="L38" s="28"/>
      <c r="M38" s="2"/>
      <c r="N38" s="2"/>
      <c r="O38" s="2"/>
    </row>
    <row r="39" spans="2:15" ht="12.75">
      <c r="B39" s="2"/>
      <c r="C39" s="2"/>
      <c r="D39" s="17"/>
      <c r="E39" s="2"/>
      <c r="F39" s="2"/>
      <c r="G39" s="2"/>
      <c r="H39" s="2"/>
      <c r="I39" s="2"/>
      <c r="J39" s="2"/>
      <c r="K39" s="2"/>
      <c r="L39" s="28"/>
      <c r="M39" s="2"/>
      <c r="N39" s="2"/>
      <c r="O39" s="2"/>
    </row>
    <row r="40" spans="2:15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2:15" ht="12.75">
      <c r="B41" s="2"/>
      <c r="C41" s="116" t="s">
        <v>27</v>
      </c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</row>
    <row r="42" spans="2:15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4" ht="12.75">
      <c r="A43" s="127" t="s">
        <v>28</v>
      </c>
      <c r="B43" s="127"/>
      <c r="C43" s="127"/>
      <c r="D43" s="32">
        <v>36</v>
      </c>
      <c r="E43" s="32">
        <v>24</v>
      </c>
      <c r="F43" s="128" t="s">
        <v>29</v>
      </c>
      <c r="G43" s="128"/>
      <c r="H43" s="128"/>
      <c r="I43" s="129"/>
      <c r="J43" s="33"/>
      <c r="K43" s="34">
        <f aca="true" t="shared" si="11" ref="K43:L47">ATAN(D43/2/f)*57.2957*2</f>
        <v>4.908056537815201</v>
      </c>
      <c r="L43" s="34">
        <f t="shared" si="11"/>
        <v>3.2731495408644817</v>
      </c>
      <c r="M43" s="128" t="s">
        <v>29</v>
      </c>
      <c r="N43" s="129"/>
    </row>
    <row r="44" spans="1:14" ht="12.75">
      <c r="A44" s="127" t="s">
        <v>30</v>
      </c>
      <c r="B44" s="127"/>
      <c r="C44" s="127"/>
      <c r="D44" s="32">
        <v>60</v>
      </c>
      <c r="E44" s="32">
        <v>60</v>
      </c>
      <c r="F44" s="130"/>
      <c r="G44" s="130"/>
      <c r="H44" s="130"/>
      <c r="I44" s="131"/>
      <c r="J44" s="33"/>
      <c r="K44" s="34">
        <f t="shared" si="11"/>
        <v>8.171222220197116</v>
      </c>
      <c r="L44" s="34">
        <f t="shared" si="11"/>
        <v>8.171222220197116</v>
      </c>
      <c r="M44" s="130"/>
      <c r="N44" s="131"/>
    </row>
    <row r="45" spans="1:14" ht="12.75">
      <c r="A45" s="35" t="s">
        <v>31</v>
      </c>
      <c r="B45" s="35"/>
      <c r="C45" s="35"/>
      <c r="D45" s="32">
        <v>90</v>
      </c>
      <c r="E45" s="32">
        <v>60</v>
      </c>
      <c r="F45" s="130"/>
      <c r="G45" s="130"/>
      <c r="H45" s="130"/>
      <c r="I45" s="131"/>
      <c r="J45" s="33"/>
      <c r="K45" s="34">
        <f t="shared" si="11"/>
        <v>12.230990158806161</v>
      </c>
      <c r="L45" s="34">
        <f t="shared" si="11"/>
        <v>8.171222220197116</v>
      </c>
      <c r="M45" s="130"/>
      <c r="N45" s="131"/>
    </row>
    <row r="46" spans="1:14" ht="12.75">
      <c r="A46" s="123" t="s">
        <v>32</v>
      </c>
      <c r="B46" s="123"/>
      <c r="C46" s="123"/>
      <c r="D46" s="36">
        <v>7.84</v>
      </c>
      <c r="E46" s="36">
        <v>6.4</v>
      </c>
      <c r="F46" s="37">
        <v>510</v>
      </c>
      <c r="G46" s="37">
        <v>492</v>
      </c>
      <c r="H46" s="32">
        <f>D46/F46*1000</f>
        <v>15.372549019607842</v>
      </c>
      <c r="I46" s="32">
        <f>E46/G46*1000</f>
        <v>13.008130081300813</v>
      </c>
      <c r="J46" s="33"/>
      <c r="K46" s="34">
        <f t="shared" si="11"/>
        <v>1.0694886792723006</v>
      </c>
      <c r="L46" s="34">
        <f t="shared" si="11"/>
        <v>0.8730604399083223</v>
      </c>
      <c r="M46" s="38">
        <f>K46/F46*3600</f>
        <v>7.549331853686828</v>
      </c>
      <c r="N46" s="38">
        <f>L46/G46*3600</f>
        <v>6.388247121280407</v>
      </c>
    </row>
    <row r="47" spans="1:14" ht="12.75">
      <c r="A47" s="115" t="s">
        <v>33</v>
      </c>
      <c r="B47" s="115"/>
      <c r="C47" s="115"/>
      <c r="D47" s="39">
        <v>4.46</v>
      </c>
      <c r="E47" s="39">
        <v>3.8</v>
      </c>
      <c r="F47" s="40">
        <v>640</v>
      </c>
      <c r="G47" s="40">
        <v>480</v>
      </c>
      <c r="H47" s="32">
        <v>5.6</v>
      </c>
      <c r="I47" s="32">
        <v>5.6</v>
      </c>
      <c r="J47" s="33"/>
      <c r="K47" s="34">
        <f t="shared" si="11"/>
        <v>0.6084200493777049</v>
      </c>
      <c r="L47" s="34">
        <f t="shared" si="11"/>
        <v>0.5183861304540468</v>
      </c>
      <c r="M47" s="38">
        <f>K47/F47*3600</f>
        <v>3.42236277774959</v>
      </c>
      <c r="N47" s="38">
        <f>L47/G47*3600</f>
        <v>3.8878959784053513</v>
      </c>
    </row>
    <row r="48" spans="1:15" ht="32.25">
      <c r="A48" s="41"/>
      <c r="B48" s="2"/>
      <c r="C48" s="2"/>
      <c r="D48" s="42" t="s">
        <v>34</v>
      </c>
      <c r="E48" s="42" t="s">
        <v>35</v>
      </c>
      <c r="F48" s="43" t="s">
        <v>36</v>
      </c>
      <c r="G48" s="43" t="s">
        <v>37</v>
      </c>
      <c r="H48" s="43" t="s">
        <v>38</v>
      </c>
      <c r="I48" s="43" t="s">
        <v>39</v>
      </c>
      <c r="J48" s="42"/>
      <c r="K48" s="42" t="s">
        <v>40</v>
      </c>
      <c r="L48" s="42" t="s">
        <v>41</v>
      </c>
      <c r="M48" s="42" t="s">
        <v>42</v>
      </c>
      <c r="N48" s="42" t="s">
        <v>43</v>
      </c>
      <c r="O48" s="2"/>
    </row>
    <row r="49" spans="2:15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2:15" ht="12.75">
      <c r="B50" s="2"/>
      <c r="C50" s="2"/>
      <c r="D50" s="44"/>
      <c r="E50" s="11" t="s">
        <v>44</v>
      </c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2:15" ht="12.75">
      <c r="B51" s="2"/>
      <c r="C51" s="2"/>
      <c r="D51" s="17"/>
      <c r="E51" s="11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2:15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2:15" ht="12.75">
      <c r="B53" s="2"/>
      <c r="C53" s="116" t="s">
        <v>45</v>
      </c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</row>
    <row r="54" spans="2:15" ht="12.75">
      <c r="B54" s="2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</row>
    <row r="55" spans="2:15" ht="12.75">
      <c r="B55" s="2"/>
      <c r="C55" s="45"/>
      <c r="D55" s="45"/>
      <c r="E55" s="45"/>
      <c r="F55" s="45"/>
      <c r="G55" s="117" t="s">
        <v>46</v>
      </c>
      <c r="H55" s="118"/>
      <c r="I55" s="46">
        <f>((f/uzywanyokular)*obaparatu)/d</f>
        <v>11.538461538461538</v>
      </c>
      <c r="K55" s="45"/>
      <c r="L55" s="45"/>
      <c r="M55" s="45"/>
      <c r="N55" s="45"/>
      <c r="O55" s="45"/>
    </row>
    <row r="56" spans="2:15" ht="12.75">
      <c r="B56" s="2"/>
      <c r="C56" s="2"/>
      <c r="D56" s="2"/>
      <c r="E56" s="2"/>
      <c r="F56" s="17"/>
      <c r="G56" s="117" t="s">
        <v>47</v>
      </c>
      <c r="H56" s="118"/>
      <c r="I56" s="47">
        <f>(f/uzywanyokular)*obaparatu</f>
        <v>807.6923076923076</v>
      </c>
      <c r="K56" s="2"/>
      <c r="L56" s="2"/>
      <c r="M56" s="2"/>
      <c r="N56" s="2"/>
      <c r="O56" s="2"/>
    </row>
    <row r="57" spans="1:15" ht="12.75">
      <c r="A57" s="104" t="s">
        <v>48</v>
      </c>
      <c r="B57" s="104"/>
      <c r="C57" s="105"/>
      <c r="D57" s="48">
        <v>1800</v>
      </c>
      <c r="E57" s="49">
        <f>(f*D57)/206265</f>
        <v>3.665187986328267</v>
      </c>
      <c r="F57" s="50">
        <f>((f/d)*(f/d))/(czuloscfilmu*80)</f>
        <v>0.000375</v>
      </c>
      <c r="G57" s="51">
        <f>(((f/uzywanyokular)*obaparatu)*D57)/206265</f>
        <v>7.048438435246667</v>
      </c>
      <c r="H57" s="52">
        <f>G57*(180/36)</f>
        <v>35.24219217623334</v>
      </c>
      <c r="I57" s="53">
        <f>((((f/uzywanyokular)*obaparatu)/d)*(((f/uzywanyokular)*obaparatu)/d))/(czuloscfilmu*80)</f>
        <v>0.0013868343195266271</v>
      </c>
      <c r="J57" s="2"/>
      <c r="K57" s="2"/>
      <c r="L57" s="2"/>
      <c r="M57" s="2"/>
      <c r="N57" s="2"/>
      <c r="O57" s="2"/>
    </row>
    <row r="58" spans="1:15" ht="12.75">
      <c r="A58" s="104" t="s">
        <v>49</v>
      </c>
      <c r="B58" s="104"/>
      <c r="C58" s="105"/>
      <c r="D58" s="48">
        <v>11</v>
      </c>
      <c r="E58" s="49">
        <f aca="true" t="shared" si="12" ref="E58:E69">(f*D58)/206265</f>
        <v>0.02239837102756163</v>
      </c>
      <c r="F58" s="50">
        <f>((f/d)*(f/d))/(czuloscfilmu*60)</f>
        <v>0.0005</v>
      </c>
      <c r="G58" s="54">
        <f>(((f/uzywanyokular)*obaparatu)*D58)/206265</f>
        <v>0.04307379043761851</v>
      </c>
      <c r="H58" s="55">
        <f aca="true" t="shared" si="13" ref="H58:H71">G58*(180/36)</f>
        <v>0.21536895218809254</v>
      </c>
      <c r="I58" s="50">
        <f>((((f/uzywanyokular)*obaparatu)/d)*(((f/uzywanyokular)*obaparatu)/d))/(czuloscfilmu*60)</f>
        <v>0.0018491124260355029</v>
      </c>
      <c r="J58" s="2"/>
      <c r="K58" s="2"/>
      <c r="L58" s="2"/>
      <c r="M58" s="2"/>
      <c r="N58" s="2"/>
      <c r="O58" s="2"/>
    </row>
    <row r="59" spans="1:15" ht="12.75">
      <c r="A59" s="104" t="s">
        <v>50</v>
      </c>
      <c r="B59" s="104"/>
      <c r="C59" s="105"/>
      <c r="D59" s="48">
        <v>60.2</v>
      </c>
      <c r="E59" s="49">
        <f t="shared" si="12"/>
        <v>0.12258017598720093</v>
      </c>
      <c r="F59" s="50">
        <f>((f/d)*(f/d))/(czuloscfilmu*400)</f>
        <v>7.5E-05</v>
      </c>
      <c r="G59" s="54">
        <f>(((f/uzywanyokular)*obaparatu)*D59)/206265</f>
        <v>0.2357311076676941</v>
      </c>
      <c r="H59" s="55">
        <f t="shared" si="13"/>
        <v>1.1786555383384705</v>
      </c>
      <c r="I59" s="50">
        <f>((((f/uzywanyokular)*obaparatu)/d)*(((f/uzywanyokular)*obaparatu)/d))/(czuloscfilmu*400)</f>
        <v>0.00027736686390532545</v>
      </c>
      <c r="J59" s="2"/>
      <c r="K59" s="56" t="s">
        <v>51</v>
      </c>
      <c r="L59" s="2"/>
      <c r="M59" s="2"/>
      <c r="N59" s="2"/>
      <c r="O59" s="2"/>
    </row>
    <row r="60" spans="1:15" ht="12.75">
      <c r="A60" s="57" t="s">
        <v>52</v>
      </c>
      <c r="B60" s="57"/>
      <c r="C60" s="58"/>
      <c r="D60" s="119">
        <v>1800</v>
      </c>
      <c r="E60" s="120">
        <f t="shared" si="12"/>
        <v>3.665187986328267</v>
      </c>
      <c r="F60" s="50">
        <f>((f/d)*(f/d))/(czuloscfilmu*200)</f>
        <v>0.00015</v>
      </c>
      <c r="G60" s="121">
        <f>(((f/uzywanyokular)*obaparatu)*D60)/206265</f>
        <v>7.048438435246667</v>
      </c>
      <c r="H60" s="122">
        <f t="shared" si="13"/>
        <v>35.24219217623334</v>
      </c>
      <c r="I60" s="50">
        <f>((((f/uzywanyokular)*obaparatu)/d)*(((f/uzywanyokular)*obaparatu)/d))/(czuloscfilmu*200)</f>
        <v>0.0005547337278106509</v>
      </c>
      <c r="J60" s="2"/>
      <c r="K60" s="59"/>
      <c r="L60" s="114" t="s">
        <v>53</v>
      </c>
      <c r="M60" s="114"/>
      <c r="N60" s="114"/>
      <c r="O60" s="114"/>
    </row>
    <row r="61" spans="1:15" ht="12.75">
      <c r="A61" s="57" t="s">
        <v>54</v>
      </c>
      <c r="B61" s="57"/>
      <c r="C61" s="58"/>
      <c r="D61" s="119"/>
      <c r="E61" s="120"/>
      <c r="F61" s="50">
        <f>((f/d)*(f/d))/(czuloscfilmu*80)</f>
        <v>0.000375</v>
      </c>
      <c r="G61" s="121"/>
      <c r="H61" s="122"/>
      <c r="I61" s="50">
        <f>((((f/uzywanyokular)*obaparatu)/d)*(((f/uzywanyokular)*obaparatu)/d))/(czuloscfilmu*80)</f>
        <v>0.0013868343195266271</v>
      </c>
      <c r="J61" s="2"/>
      <c r="K61" s="60"/>
      <c r="L61" s="114" t="s">
        <v>55</v>
      </c>
      <c r="M61" s="114"/>
      <c r="N61" s="114"/>
      <c r="O61" s="114"/>
    </row>
    <row r="62" spans="1:16" ht="12.75">
      <c r="A62" s="57" t="s">
        <v>56</v>
      </c>
      <c r="B62" s="57"/>
      <c r="C62" s="58"/>
      <c r="D62" s="119"/>
      <c r="E62" s="120"/>
      <c r="F62" s="50">
        <f>((f/d)*(f/d))/(czuloscfilmu*40)</f>
        <v>0.00075</v>
      </c>
      <c r="G62" s="121"/>
      <c r="H62" s="122"/>
      <c r="I62" s="50">
        <f>((((f/uzywanyokular)*obaparatu)/d)*(((f/uzywanyokular)*obaparatu)/d))/(czuloscfilmu*40)</f>
        <v>0.0027736686390532543</v>
      </c>
      <c r="J62" s="2"/>
      <c r="K62" s="61"/>
      <c r="L62" s="114" t="s">
        <v>57</v>
      </c>
      <c r="M62" s="114"/>
      <c r="N62" s="114"/>
      <c r="O62" s="114"/>
      <c r="P62" s="114"/>
    </row>
    <row r="63" spans="1:15" ht="12.75">
      <c r="A63" s="57" t="s">
        <v>58</v>
      </c>
      <c r="B63" s="57"/>
      <c r="C63" s="58"/>
      <c r="D63" s="119"/>
      <c r="E63" s="120"/>
      <c r="F63" s="50">
        <f>((f/d)*(f/d))/(czuloscfilmu*20)</f>
        <v>0.0015</v>
      </c>
      <c r="G63" s="121"/>
      <c r="H63" s="122"/>
      <c r="I63" s="50">
        <f>((((f/uzywanyokular)*obaparatu)/d)*(((f/uzywanyokular)*obaparatu)/d))/(czuloscfilmu*20)</f>
        <v>0.005547337278106509</v>
      </c>
      <c r="J63" s="2"/>
      <c r="K63" s="2"/>
      <c r="L63" s="2"/>
      <c r="M63" s="2"/>
      <c r="N63" s="2"/>
      <c r="O63" s="2"/>
    </row>
    <row r="64" spans="1:15" ht="12.75">
      <c r="A64" s="104" t="s">
        <v>59</v>
      </c>
      <c r="B64" s="104"/>
      <c r="C64" s="105"/>
      <c r="D64" s="48">
        <v>17.9</v>
      </c>
      <c r="E64" s="49">
        <f t="shared" si="12"/>
        <v>0.03644825830848665</v>
      </c>
      <c r="F64" s="50">
        <f>((f/d)*(f/d))/(czuloscfilmu*60)</f>
        <v>0.0005</v>
      </c>
      <c r="G64" s="54">
        <f aca="true" t="shared" si="14" ref="G64:G69">(((f/uzywanyokular)*obaparatu)*D64)/206265</f>
        <v>0.0700928044393974</v>
      </c>
      <c r="H64" s="55">
        <f t="shared" si="13"/>
        <v>0.350464022196987</v>
      </c>
      <c r="I64" s="50">
        <f>((((f/uzywanyokular)*obaparatu)/d)*(((f/uzywanyokular)*obaparatu)/d))/(czuloscfilmu*60)</f>
        <v>0.0018491124260355029</v>
      </c>
      <c r="J64" s="2"/>
      <c r="K64" s="2"/>
      <c r="L64" s="2"/>
      <c r="M64" s="2"/>
      <c r="N64" s="2"/>
      <c r="O64" s="2"/>
    </row>
    <row r="65" spans="1:15" ht="12.75">
      <c r="A65" s="106" t="s">
        <v>60</v>
      </c>
      <c r="B65" s="106"/>
      <c r="C65" s="107"/>
      <c r="D65" s="62">
        <v>46</v>
      </c>
      <c r="E65" s="63">
        <f t="shared" si="12"/>
        <v>0.09366591520616682</v>
      </c>
      <c r="F65" s="64">
        <f>((f/d)*(f/d))/(czuloscfilmu*30)</f>
        <v>0.001</v>
      </c>
      <c r="G65" s="65">
        <f t="shared" si="14"/>
        <v>0.18012676001185926</v>
      </c>
      <c r="H65" s="66">
        <f t="shared" si="13"/>
        <v>0.9006338000592963</v>
      </c>
      <c r="I65" s="64">
        <f>((((f/uzywanyokular)*obaparatu)/d)*(((f/uzywanyokular)*obaparatu)/d))/(czuloscfilmu*30)</f>
        <v>0.0036982248520710057</v>
      </c>
      <c r="J65" s="2"/>
      <c r="K65" s="2"/>
      <c r="L65" s="2"/>
      <c r="M65" s="2"/>
      <c r="N65" s="2"/>
      <c r="O65" s="2"/>
    </row>
    <row r="66" spans="1:15" ht="12.75">
      <c r="A66" s="104" t="s">
        <v>61</v>
      </c>
      <c r="B66" s="104"/>
      <c r="C66" s="105"/>
      <c r="D66" s="48">
        <v>19</v>
      </c>
      <c r="E66" s="49">
        <f t="shared" si="12"/>
        <v>0.038688095411242816</v>
      </c>
      <c r="F66" s="108">
        <f>((f/d)*(f/d))/(czuloscfilmu*10)</f>
        <v>0.003</v>
      </c>
      <c r="G66" s="54">
        <f t="shared" si="14"/>
        <v>0.07440018348315926</v>
      </c>
      <c r="H66" s="55">
        <f t="shared" si="13"/>
        <v>0.3720009174157963</v>
      </c>
      <c r="I66" s="108">
        <f>((((f/uzywanyokular)*obaparatu)/d)*(((f/uzywanyokular)*obaparatu)/d))/(czuloscfilmu*10)</f>
        <v>0.011094674556213017</v>
      </c>
      <c r="J66" s="2"/>
      <c r="K66" s="2"/>
      <c r="L66" s="2"/>
      <c r="M66" s="2"/>
      <c r="N66" s="2"/>
      <c r="O66" s="2"/>
    </row>
    <row r="67" spans="1:15" ht="12.75">
      <c r="A67" s="57" t="s">
        <v>62</v>
      </c>
      <c r="B67" s="57"/>
      <c r="C67" s="58"/>
      <c r="D67" s="48">
        <v>42</v>
      </c>
      <c r="E67" s="49">
        <f t="shared" si="12"/>
        <v>0.08552105301432623</v>
      </c>
      <c r="F67" s="109"/>
      <c r="G67" s="54">
        <f t="shared" si="14"/>
        <v>0.1644635634890889</v>
      </c>
      <c r="H67" s="55">
        <f t="shared" si="13"/>
        <v>0.8223178174454444</v>
      </c>
      <c r="I67" s="109"/>
      <c r="J67" s="2"/>
      <c r="K67" s="2"/>
      <c r="L67" s="2"/>
      <c r="M67" s="2"/>
      <c r="N67" s="2"/>
      <c r="O67" s="2"/>
    </row>
    <row r="68" spans="1:15" ht="12.75">
      <c r="A68" s="104" t="s">
        <v>63</v>
      </c>
      <c r="B68" s="104"/>
      <c r="C68" s="105"/>
      <c r="D68" s="48">
        <v>4</v>
      </c>
      <c r="E68" s="49">
        <f t="shared" si="12"/>
        <v>0.008144862191840593</v>
      </c>
      <c r="F68" s="110" t="s">
        <v>64</v>
      </c>
      <c r="G68" s="54">
        <f t="shared" si="14"/>
        <v>0.01566319652277037</v>
      </c>
      <c r="H68" s="55">
        <f t="shared" si="13"/>
        <v>0.07831598261385185</v>
      </c>
      <c r="I68" s="113" t="s">
        <v>64</v>
      </c>
      <c r="J68" s="2"/>
      <c r="K68" s="2"/>
      <c r="L68" s="2"/>
      <c r="M68" s="67"/>
      <c r="N68" s="2"/>
      <c r="O68" s="2"/>
    </row>
    <row r="69" spans="1:15" ht="12.75">
      <c r="A69" s="104" t="s">
        <v>65</v>
      </c>
      <c r="B69" s="104"/>
      <c r="C69" s="105"/>
      <c r="D69" s="48">
        <v>2.1</v>
      </c>
      <c r="E69" s="49">
        <f t="shared" si="12"/>
        <v>0.004276052650716311</v>
      </c>
      <c r="F69" s="111"/>
      <c r="G69" s="54">
        <f t="shared" si="14"/>
        <v>0.008223178174454445</v>
      </c>
      <c r="H69" s="55">
        <f t="shared" si="13"/>
        <v>0.04111589087227223</v>
      </c>
      <c r="I69" s="113"/>
      <c r="J69" s="2"/>
      <c r="K69" s="2"/>
      <c r="L69" s="2"/>
      <c r="M69" s="2"/>
      <c r="N69" s="2"/>
      <c r="O69" s="2"/>
    </row>
    <row r="70" spans="1:15" ht="12.75">
      <c r="A70" s="104" t="s">
        <v>66</v>
      </c>
      <c r="B70" s="104"/>
      <c r="C70" s="105"/>
      <c r="D70" s="48">
        <v>0.1</v>
      </c>
      <c r="E70" s="49">
        <f>(f*D70)/206265</f>
        <v>0.00020362155479601484</v>
      </c>
      <c r="F70" s="112"/>
      <c r="G70" s="54">
        <f>(((f/uzywanyokular)*obaparatu)*D70)/206265</f>
        <v>0.00039157991306925933</v>
      </c>
      <c r="H70" s="55">
        <f t="shared" si="13"/>
        <v>0.0019578995653462966</v>
      </c>
      <c r="I70" s="113"/>
      <c r="J70" s="2"/>
      <c r="K70" s="2"/>
      <c r="L70" s="2"/>
      <c r="M70" s="2"/>
      <c r="N70" s="2"/>
      <c r="O70" s="2"/>
    </row>
    <row r="71" spans="1:15" ht="12.75">
      <c r="A71" s="104" t="s">
        <v>67</v>
      </c>
      <c r="B71" s="104"/>
      <c r="C71" s="105"/>
      <c r="D71" s="48">
        <v>36</v>
      </c>
      <c r="E71" s="49">
        <f>(f*D71)/206265</f>
        <v>0.07330375972656535</v>
      </c>
      <c r="F71" s="50">
        <f>((f/d)*(f/d))/(czuloscfilmu*400)</f>
        <v>7.5E-05</v>
      </c>
      <c r="G71" s="54">
        <f>(((f/uzywanyokular)*obaparatu)*D71)/206265</f>
        <v>0.14096876870493333</v>
      </c>
      <c r="H71" s="55">
        <f t="shared" si="13"/>
        <v>0.7048438435246667</v>
      </c>
      <c r="I71" s="50">
        <f>((((f/uzywanyokular)*obaparatu)/d)*(((f/uzywanyokular)*obaparatu)/d))/(czuloscfilmu*400)</f>
        <v>0.00027736686390532545</v>
      </c>
      <c r="J71" s="2"/>
      <c r="K71" s="2"/>
      <c r="L71" s="2"/>
      <c r="M71" s="98"/>
      <c r="N71" s="98"/>
      <c r="O71" s="2"/>
    </row>
    <row r="72" spans="2:15" ht="126.75">
      <c r="B72" s="2"/>
      <c r="C72" s="2"/>
      <c r="D72" s="68" t="s">
        <v>68</v>
      </c>
      <c r="E72" s="68" t="s">
        <v>69</v>
      </c>
      <c r="F72" s="69" t="s">
        <v>70</v>
      </c>
      <c r="G72" s="99" t="s">
        <v>71</v>
      </c>
      <c r="H72" s="70" t="s">
        <v>72</v>
      </c>
      <c r="I72" s="70" t="s">
        <v>73</v>
      </c>
      <c r="J72" s="2"/>
      <c r="K72" s="2"/>
      <c r="L72" s="2"/>
      <c r="M72" s="2"/>
      <c r="N72" s="2"/>
      <c r="O72" s="2"/>
    </row>
    <row r="73" spans="2:15" ht="12.75">
      <c r="B73" s="2"/>
      <c r="C73" s="2"/>
      <c r="D73" s="101" t="s">
        <v>74</v>
      </c>
      <c r="E73" s="101"/>
      <c r="F73" s="71">
        <v>1200</v>
      </c>
      <c r="G73" s="100"/>
      <c r="H73" s="2"/>
      <c r="I73" s="2"/>
      <c r="J73" s="2"/>
      <c r="K73" s="2"/>
      <c r="L73" s="2"/>
      <c r="M73" s="2"/>
      <c r="N73" s="2"/>
      <c r="O73" s="2"/>
    </row>
    <row r="74" spans="2:15" ht="12.75">
      <c r="B74" s="2"/>
      <c r="C74" s="2"/>
      <c r="D74" s="102"/>
      <c r="E74" s="102"/>
      <c r="F74" s="72" t="s">
        <v>75</v>
      </c>
      <c r="G74" s="73">
        <v>50</v>
      </c>
      <c r="H74" s="2"/>
      <c r="I74" s="2"/>
      <c r="J74" s="2"/>
      <c r="K74" s="2"/>
      <c r="L74" s="2"/>
      <c r="M74" s="2"/>
      <c r="N74" s="2"/>
      <c r="O74" s="2"/>
    </row>
    <row r="75" spans="2:15" ht="12.75">
      <c r="B75" s="2"/>
      <c r="C75" s="2"/>
      <c r="D75" s="2"/>
      <c r="E75" s="2"/>
      <c r="F75" s="72" t="s">
        <v>76</v>
      </c>
      <c r="G75" s="73">
        <v>26</v>
      </c>
      <c r="H75" s="2"/>
      <c r="I75" s="2"/>
      <c r="J75" s="2"/>
      <c r="K75" s="2"/>
      <c r="L75" s="2"/>
      <c r="M75" s="2"/>
      <c r="N75" s="2"/>
      <c r="O75" s="2"/>
    </row>
    <row r="76" spans="2:15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2:15" ht="12.75">
      <c r="B77" s="2"/>
      <c r="C77" s="2"/>
      <c r="D77" s="103"/>
      <c r="E77" s="103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2:15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2:15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2:15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2:15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2:15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2:15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2:15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2:15" ht="12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</sheetData>
  <sheetProtection/>
  <mergeCells count="54">
    <mergeCell ref="B10:E10"/>
    <mergeCell ref="B3:P3"/>
    <mergeCell ref="B4:P4"/>
    <mergeCell ref="B5:P5"/>
    <mergeCell ref="B8:E8"/>
    <mergeCell ref="B9:E9"/>
    <mergeCell ref="B11:E11"/>
    <mergeCell ref="B12:E13"/>
    <mergeCell ref="G12:H12"/>
    <mergeCell ref="G13:H13"/>
    <mergeCell ref="B14:E14"/>
    <mergeCell ref="G14:H14"/>
    <mergeCell ref="C41:O41"/>
    <mergeCell ref="A43:C43"/>
    <mergeCell ref="F43:I45"/>
    <mergeCell ref="M43:N45"/>
    <mergeCell ref="A44:C44"/>
    <mergeCell ref="Q23:Q33"/>
    <mergeCell ref="D60:D63"/>
    <mergeCell ref="E60:E63"/>
    <mergeCell ref="G60:G63"/>
    <mergeCell ref="H60:H63"/>
    <mergeCell ref="A46:C46"/>
    <mergeCell ref="B15:E15"/>
    <mergeCell ref="B16:E16"/>
    <mergeCell ref="C19:O19"/>
    <mergeCell ref="C21:O21"/>
    <mergeCell ref="A23:A33"/>
    <mergeCell ref="L60:O60"/>
    <mergeCell ref="L61:O61"/>
    <mergeCell ref="L62:P62"/>
    <mergeCell ref="A47:C47"/>
    <mergeCell ref="C53:O53"/>
    <mergeCell ref="G55:H55"/>
    <mergeCell ref="G56:H56"/>
    <mergeCell ref="A57:C57"/>
    <mergeCell ref="A58:C58"/>
    <mergeCell ref="A59:C59"/>
    <mergeCell ref="I66:I67"/>
    <mergeCell ref="A68:C68"/>
    <mergeCell ref="F68:F70"/>
    <mergeCell ref="I68:I70"/>
    <mergeCell ref="A69:C69"/>
    <mergeCell ref="A70:C70"/>
    <mergeCell ref="M71:N71"/>
    <mergeCell ref="G72:G73"/>
    <mergeCell ref="D73:E73"/>
    <mergeCell ref="D74:E74"/>
    <mergeCell ref="D77:E77"/>
    <mergeCell ref="A64:C64"/>
    <mergeCell ref="A65:C65"/>
    <mergeCell ref="A66:C66"/>
    <mergeCell ref="F66:F67"/>
    <mergeCell ref="A71:C71"/>
  </mergeCells>
  <conditionalFormatting sqref="E57:E71 G57:G71">
    <cfRule type="cellIs" priority="1" dxfId="9" operator="greaterThan" stopIfTrue="1">
      <formula>24</formula>
    </cfRule>
  </conditionalFormatting>
  <conditionalFormatting sqref="F57:F67 F71">
    <cfRule type="cellIs" priority="2" dxfId="2" operator="greaterThan" stopIfTrue="1">
      <formula>0.04444444</formula>
    </cfRule>
    <cfRule type="cellIs" priority="3" dxfId="5" operator="lessThan" stopIfTrue="1">
      <formula>0.00133333</formula>
    </cfRule>
  </conditionalFormatting>
  <conditionalFormatting sqref="I57:I67 I71">
    <cfRule type="cellIs" priority="4" dxfId="2" operator="greaterThan" stopIfTrue="1">
      <formula>0.04444444</formula>
    </cfRule>
    <cfRule type="cellIs" priority="5" dxfId="5" operator="lessThan" stopIfTrue="1">
      <formula>0.001333333</formula>
    </cfRule>
  </conditionalFormatting>
  <conditionalFormatting sqref="C23:O33">
    <cfRule type="cellIs" priority="6" dxfId="4" operator="greaterThanOrEqual" stopIfTrue="1">
      <formula>60</formula>
    </cfRule>
    <cfRule type="cellIs" priority="7" dxfId="1" operator="lessThanOrEqual" stopIfTrue="1">
      <formula>10</formula>
    </cfRule>
    <cfRule type="cellIs" priority="8" dxfId="2" operator="between" stopIfTrue="1">
      <formula>10</formula>
      <formula>60</formula>
    </cfRule>
  </conditionalFormatting>
  <conditionalFormatting sqref="M46:N47">
    <cfRule type="cellIs" priority="9" dxfId="1" operator="lessThan" stopIfTrue="1">
      <formula>0.5</formula>
    </cfRule>
  </conditionalFormatting>
  <conditionalFormatting sqref="P23:P33">
    <cfRule type="cellIs" priority="10" dxfId="0" operator="notBetween" stopIfTrue="1">
      <formula>$F$16</formula>
      <formula>$F$15</formula>
    </cfRule>
  </conditionalFormatting>
  <hyperlinks>
    <hyperlink ref="B5" r:id="rId1" display="www.cosmo.prv.pl"/>
    <hyperlink ref="B5:P5" r:id="rId2" display="http://www.cosmo.prv.pl/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9" sqref="A9"/>
    </sheetView>
  </sheetViews>
  <sheetFormatPr defaultColWidth="9.140625" defaultRowHeight="12.75"/>
  <sheetData>
    <row r="1" ht="12.75">
      <c r="A1">
        <v>3500</v>
      </c>
    </row>
    <row r="2" ht="12.75">
      <c r="A2">
        <v>630</v>
      </c>
    </row>
    <row r="3" ht="12.75">
      <c r="A3">
        <v>530</v>
      </c>
    </row>
    <row r="4" ht="12.75">
      <c r="A4">
        <v>800</v>
      </c>
    </row>
    <row r="5" ht="12.75">
      <c r="A5">
        <v>840</v>
      </c>
    </row>
    <row r="6" ht="12.75">
      <c r="A6">
        <v>620</v>
      </c>
    </row>
    <row r="7" ht="12.75">
      <c r="A7">
        <v>480</v>
      </c>
    </row>
    <row r="8" ht="12.75">
      <c r="A8">
        <f>SUM(A1:A7)</f>
        <v>7400</v>
      </c>
    </row>
    <row r="9" ht="12.75">
      <c r="A9">
        <f>A8*4.2</f>
        <v>31080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uniwersal</dc:creator>
  <cp:keywords/>
  <dc:description/>
  <cp:lastModifiedBy>Ania K</cp:lastModifiedBy>
  <cp:lastPrinted>2014-06-04T11:02:07Z</cp:lastPrinted>
  <dcterms:created xsi:type="dcterms:W3CDTF">2013-06-25T08:05:42Z</dcterms:created>
  <dcterms:modified xsi:type="dcterms:W3CDTF">2014-06-06T17:06:22Z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