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5480" windowHeight="11520" activeTab="0"/>
  </bookViews>
  <sheets>
    <sheet name="Obserwatorium automatyczne" sheetId="1" r:id="rId1"/>
    <sheet name="Arkusz1 (2)" sheetId="2" state="hidden" r:id="rId2"/>
    <sheet name="Arkusz3" sheetId="3" state="hidden" r:id="rId3"/>
    <sheet name="Arkusz1" sheetId="4" r:id="rId4"/>
  </sheets>
  <definedNames>
    <definedName name="czuloscfilmu" localSheetId="1">'Arkusz1 (2)'!$F$73</definedName>
    <definedName name="czuloscfilmu">#REF!</definedName>
    <definedName name="d" localSheetId="1">'Arkusz1 (2)'!$F$8</definedName>
    <definedName name="d">#REF!</definedName>
    <definedName name="f" localSheetId="1">'Arkusz1 (2)'!$F$9</definedName>
    <definedName name="f">#REF!</definedName>
    <definedName name="f_10" localSheetId="1">'Arkusz1 (2)'!$B$24</definedName>
    <definedName name="f_10">#REF!</definedName>
    <definedName name="f_15" localSheetId="1">'Arkusz1 (2)'!$B$25</definedName>
    <definedName name="f_15">#REF!</definedName>
    <definedName name="f_20" localSheetId="1">'Arkusz1 (2)'!$B$26</definedName>
    <definedName name="f_20">#REF!</definedName>
    <definedName name="f_25" localSheetId="1">'Arkusz1 (2)'!$B$27</definedName>
    <definedName name="f_25">#REF!</definedName>
    <definedName name="f_30" localSheetId="1">'Arkusz1 (2)'!$B$28</definedName>
    <definedName name="f_30">#REF!</definedName>
    <definedName name="f_35" localSheetId="1">'Arkusz1 (2)'!$B$29</definedName>
    <definedName name="f_35">#REF!</definedName>
    <definedName name="f_40" localSheetId="1">'Arkusz1 (2)'!$B$30</definedName>
    <definedName name="f_40">#REF!</definedName>
    <definedName name="f_45" localSheetId="1">'Arkusz1 (2)'!$B$31</definedName>
    <definedName name="f_45">#REF!</definedName>
    <definedName name="f_50" localSheetId="1">'Arkusz1 (2)'!$B$32</definedName>
    <definedName name="f_50">#REF!</definedName>
    <definedName name="f_55" localSheetId="1">'Arkusz1 (2)'!$B$33</definedName>
    <definedName name="f_55">#REF!</definedName>
    <definedName name="obaparatu" localSheetId="1">'Arkusz1 (2)'!$G$74</definedName>
    <definedName name="obaparatu">#REF!</definedName>
    <definedName name="uzywanyokular" localSheetId="1">'Arkusz1 (2)'!$G$75</definedName>
    <definedName name="uzywanyokular">#REF!</definedName>
  </definedNames>
  <calcPr fullCalcOnLoad="1"/>
</workbook>
</file>

<file path=xl/sharedStrings.xml><?xml version="1.0" encoding="utf-8"?>
<sst xmlns="http://schemas.openxmlformats.org/spreadsheetml/2006/main" count="158" uniqueCount="149">
  <si>
    <t>Nazwa produktu</t>
  </si>
  <si>
    <t>Opis produktu</t>
  </si>
  <si>
    <t>Liczba sztuk do zamówienia</t>
  </si>
  <si>
    <t>Przykładowy typ (nazwa produktu, symbol, producent, opis)</t>
  </si>
  <si>
    <t>Nr kolejny</t>
  </si>
  <si>
    <t>np. Uniwersał, ScopeDome, Baader lub inna równoważna</t>
  </si>
  <si>
    <t>Teleskop do obserwacji Księżyca</t>
  </si>
  <si>
    <t>Teleskop do obserwacji Słońca</t>
  </si>
  <si>
    <t>Teleskop do obserwacji planet</t>
  </si>
  <si>
    <t>Montaż paralaktyczny typu niemieckiego o nośności zapewniającej udźwig teleskopu planetarnego, księżycowego i słonecznego jednocześnie (co najmniej 15kg), napędy elektryczne z enkoderami, skomputeryzowany z możliwością obsługi za pomocą komputera PC z sali astronomicznej znajdującej się w budynku za pośrednictwem lokalnej sieci komputerowej, wyposażony w system GoTo z bazą obiektów w tym planet, Słońca i Księżyca. Dokładność pracy montażu powinna zapewnić odszukanie przez system planet Układu Słonecznego, Księżyca i Słońca na niebie w taki sposób by były one widoczne w całości w kadrze na ekranie użytkownika w sali astronomicznej.</t>
  </si>
  <si>
    <t>Teleskop - podstawowe parametry, ver. 1</t>
  </si>
  <si>
    <t>2001 Grzegorz Koralewski, PTMA Szczecin</t>
  </si>
  <si>
    <t>http://www.cosmo.prv.pl/</t>
  </si>
  <si>
    <t>Średnica teleskopu</t>
  </si>
  <si>
    <t>Ogniskowa teleskopu</t>
  </si>
  <si>
    <t>Światłosiła teleskopu</t>
  </si>
  <si>
    <t>Rozdzielczość (teo.) wizualna</t>
  </si>
  <si>
    <t>Zasięg gwiazdowy</t>
  </si>
  <si>
    <t>(na przedmieściach)</t>
  </si>
  <si>
    <t>(na wsi)</t>
  </si>
  <si>
    <t>Wzmocnienie światła</t>
  </si>
  <si>
    <t>względem oka o źrenicy</t>
  </si>
  <si>
    <t>Maks. powiększenie</t>
  </si>
  <si>
    <t>z okularem</t>
  </si>
  <si>
    <t>Min. powiększenie</t>
  </si>
  <si>
    <t>przy źrenicy</t>
  </si>
  <si>
    <t>Wizualne pola widzenia i powiększenia z różnymi okularami</t>
  </si>
  <si>
    <t>Pole widzenia okularu</t>
  </si>
  <si>
    <t>Ogniskowa okularu</t>
  </si>
  <si>
    <t>powiększenie</t>
  </si>
  <si>
    <t>pole widzenia bardzo wąskie (poniżej 10')</t>
  </si>
  <si>
    <t>pole widzenia umiarkowane</t>
  </si>
  <si>
    <t>pole widzenia bardzo szerokie (powyżej 1 stopnia)</t>
  </si>
  <si>
    <t>powiększenie zbyt duże, lub zbyt małe</t>
  </si>
  <si>
    <t>Pole widzenia na filmie lub w kamerze CCD (ognisko główne)</t>
  </si>
  <si>
    <t>Film 36x24mm</t>
  </si>
  <si>
    <t>nie dotyczy</t>
  </si>
  <si>
    <t>Film 6x6 cm</t>
  </si>
  <si>
    <t>Film 9x6 cm</t>
  </si>
  <si>
    <t>Kamera JBC-386</t>
  </si>
  <si>
    <t>DMK21</t>
  </si>
  <si>
    <t>szerokość klatki [mm]</t>
  </si>
  <si>
    <t>wysokość klatki [mm]</t>
  </si>
  <si>
    <t>piksele poziomo</t>
  </si>
  <si>
    <t>piksele pionowo</t>
  </si>
  <si>
    <t>piksel poziomo [mikrony]</t>
  </si>
  <si>
    <t>piksel pionowo [mikrony]</t>
  </si>
  <si>
    <t>pole widzenia poziomo [stopnie]</t>
  </si>
  <si>
    <t>pole widzenia pionowo [stopnie]</t>
  </si>
  <si>
    <t>sekundy łuku na piksel poziomo</t>
  </si>
  <si>
    <t>sekundy łuku na piksel pionowo</t>
  </si>
  <si>
    <t>zbyt długa ogniskowa, nie rejestruje dodatkowych szczegółów, a zmniejsza pole widzenia</t>
  </si>
  <si>
    <t>Czasy naświetlania planet na danym filmie 36x24 mm, dwiema metodami.</t>
  </si>
  <si>
    <t>efektywna światłosiła</t>
  </si>
  <si>
    <t>efektywna ogniskowa</t>
  </si>
  <si>
    <t>Słońce (z filtrem)</t>
  </si>
  <si>
    <t>Merkury</t>
  </si>
  <si>
    <t>Wenus (maksymalnie)</t>
  </si>
  <si>
    <t>Ostrzeżenia:</t>
  </si>
  <si>
    <t>Księżyc (pełny)</t>
  </si>
  <si>
    <t>czas dłuższy niż 1/30 s</t>
  </si>
  <si>
    <t>Księżyc (pękaty)</t>
  </si>
  <si>
    <t>czas krótszy niż 1/500 s</t>
  </si>
  <si>
    <t>Księżyc (kwadra)</t>
  </si>
  <si>
    <t>obiekt nie mieści się w klatce 36x24mm</t>
  </si>
  <si>
    <t>Księżyc (sierp)</t>
  </si>
  <si>
    <t>Mars (opozycja)</t>
  </si>
  <si>
    <t>Jowisz</t>
  </si>
  <si>
    <t>Saturn (planeta)</t>
  </si>
  <si>
    <t>Saturn (pierścienie)</t>
  </si>
  <si>
    <t>Uran</t>
  </si>
  <si>
    <t>?</t>
  </si>
  <si>
    <t>Neptun</t>
  </si>
  <si>
    <t>Pluton</t>
  </si>
  <si>
    <t>Alfa (z panelami)</t>
  </si>
  <si>
    <t>Rozmiar planety ['']. Można edytować.</t>
  </si>
  <si>
    <t>Wielkość planety na negatywie w ognisku głównym [mm].</t>
  </si>
  <si>
    <t>Czas naświetlania w ognisku głównym [s].</t>
  </si>
  <si>
    <t>Wielkość planety na negatywie metodą afokalną z użyciem okularu i obiektywu fotograficznego [mm].</t>
  </si>
  <si>
    <t>Wielkość obrazu planety zrobionego metodą afokalną na odbitce 18x13cm [mm].</t>
  </si>
  <si>
    <t>Czas naświetlania w metodzie afokalnej przy danym filmie, okularze i obiektywie aparatu [s].</t>
  </si>
  <si>
    <t>Czułość filmu</t>
  </si>
  <si>
    <t>Obiektyw</t>
  </si>
  <si>
    <t>Okular</t>
  </si>
  <si>
    <t>Gwintowana grubościenna stalowa rura (Pier) z adapterem (TopPier) do konkretnej głowicy paralaktycznej. Powierzchnia zabezpieczona przed korozją i wpływem warunków  atmosferycznych. Zamocowana do podstawy kopuły w stopniu zabezpieczającym stabilna pracę montażu i teleskopów (ograniczone drgania, zachowanie orientacji montażu i teleskopów w przestrzeni). Projekt należy wykonać stosownie do zastosowanego rozwiązania montażu i teleskopów.</t>
  </si>
  <si>
    <t>Teleskop do obserwacji planet wymaga długiej ogniskowej, co da odpowiednio duże obrazy planet Wenus, Jowisza, Saturna i Marsa na matrycy kamery. Przekazywanie obrazu Urana i Neptuna wymaga innej techniki z racji niewielkiej jasności tych obiektów, ale jest też możliwa na wskazanym tu sprzęcie. Teleskop typu SCT (Schmidt-Cassegrain Telescop) posiada konstrukcję zamkniętą przez co w zasadzie nie wymaga korekcji kolimacji optyki ani czyszczenia wnętrza teleskopu i luster. Masa optyki jest na tyle optymalna, że do obserwacji w nocy szybko wyrównuje on temperaturę z otoczeniem i jest gotowy do pracy. Jakość tego typu optyki jest znacząco lepsza od innych konstrukcji. Obraz jest w pełni skorygowany w obecnych konstrukcjach w zasadzie pozbawiony komy, dystorsji i płaski na całej powierzchni ogniskowania.</t>
  </si>
  <si>
    <t xml:space="preserve">Teleskop księżycowy ma za zadanie przekazać obraz całej tarczy Księżyca. Dlatego jego ogniskowa jest tak dobrana by na matrycy kamery zmieścił się cała jego średnica. Można jednak zastosować do obserwacji mniejszych szczegółów powierzchni, pojedynczych kraterów czy innych struktur, teleskop planetarny o znacznie większej ogniskowej i dający większa skalę odwzorowania.
W niektórych typach teleskopów producent nie przewiduje obejm i mocowania teleskopu do montażu zostawiając to do wyboru użytkownikowi. Dlatego wykonawca musi sam dokompletować te części jeśli one nie wystąpią w komplecie od producenta.
</t>
  </si>
  <si>
    <t>Teleskop w układzie optycznym Schmidta-Cassegraina o średnicy wejściowej 8” (około 20cm), w wersji aplanatycznej ze zmodyfikowaną asferyczną płytą korekcyjną z laskim polem widzenia (do celów astrofotograficznych)  - np. klasy EDGE-HD Celestron lub MEADE ACF. Ogniskowa 200cm i więcej. Jasność F10 i mniej, rozdzielczość poniżej 1”.
Razem z teleskopem planetarnym mają być zamontowane na jednym montażu teleskopy do obserwacji Słońca i Księżyca. Jeśli konstrukcja montażu nie daje takiej możliwości należy zaprojektować i wyposażyć teleskop planetarny w odpowiednie zamocowanie do instalacji dwóch refraktorów.</t>
  </si>
  <si>
    <t>Zasilacz awaryjny do stworzenia bezpieczeństwa zasilania sieciowego i ochrony przez przepięciami. Ma zapewnić zasilanie tylko do momentu bezpiecznego wyłączenie systemu komputerowego. Moc wyjściowa 900W i większa. Co najmniej trzy gniazda typu polskiego – okrągłe, dwa wtyki i bolec uziemiający. Gniazdo filtru dla sieci UTP. Stabilizator napięcia.</t>
  </si>
  <si>
    <t>Zasilacz awaryjny jest konieczny z racji pracy instalacji na terenie peryferyjnym, gdzie istnieją znacznie większa możliwości zaniku zasilania niż w mieście oraz przepięcia, które mogą uszkodzić urządzenia pracujące w sieci komputerowej w tym również te pracujące w kopule astronomicznej. Może to doprowadzać do rozsynchronizowania komputerów montażu, zakłóceń pracy kamer i silników oraz enkoderów montażu. Stąd konieczne stabilizowanie napięcia oraz filtrowanie zakłóceń do sieci komputerowej – UTP. Przepięcia mogą tez pojawić się od strony kopuły do komputera sterującego, choćby z racji różnicy potencjałów w pomieszczeniu i w rejonie kopuły. W zasadzie wymagane jest w standardzie CISCO podłączenie obu pomieszczeń przez światłowód – ale wymaga to odmiennej instalacji sieci komputerowej od tej jaka już istnieje.</t>
  </si>
  <si>
    <t>Wszystkie urządzenia elektryczne połączone z komputerem sterującym i dalej z urządzeniami kopuła astronomicznej winny być podłączane wyłącznie poprzez zabezpieczenia i listwy dające możliwość całkowitego odłączenia ich od zasilania po zakończeniu pracy co znacząco ograniczy przepięcia i zagrożenia z ich strony.</t>
  </si>
  <si>
    <t>np. teleskop apochromatyczny TS Individual ED 70/420 2", Sky-Watcher (Synta) BKED80 OTAW Black Diamond, Teleskop Sky-Watcher Equinox 66 lub inny równoważny</t>
  </si>
  <si>
    <t>Układ optyczny achromatyczny lub apochromatyczny. Powinien posiadać precyzyjny wyciąg okularowy z precyzyjnym mikrofokuserem 10:1. Po połaczeniu z dedykowaną kamerą astronomiczną Księżyc powinien wypełniać cały kadr obrazu. Jeśli w komplecie nie ma dovetail i bejm należy je dokompletować w podstawowym standardzie</t>
  </si>
  <si>
    <t>Kopuła astronomiczna z elektrycznym mechanizmem obrotowym i sterowaniem ze zdalną obsługą za pomocą komputera i dedykowanego oprogramowania</t>
  </si>
  <si>
    <t>Kopuła obserwacyjna o średnicy nie mniejszej niż 2 m wykonana z kompozytu poliestrowo-szklanego, szczelina obserwacyjna wyposażona w klap(y)ę dwudzielne, drzwi wejściowe, elektryczny napęd klap i napęd horyzontalny, mechanizm zapewniający obrót wokół własnej osi i ustawienie dowolnego azymutu. Obrót kopuły powinien być zsynchronizowany z pracującymi w niej teleskopami. Kopuła przystosowana do montażu teleskopów i posadowiona na konstrukcji stalowej (stelażu) z podłogą, oparta na kratownicy, profilach lub innej konstrukcji zapewniającej bezpieczne dojście dla obsługi i pracę sprzętu astronomicznego. W kopule powinna być wykonana instalacja zasilająca urządzenia kopuły, teleskopy i kamery oraz urządzenia konieczne do ich obsługi i transmisji danych do sali astronomicznej. Kopuła i urządzenia powinny mieć zasilanie buforowe pozwalające na zamknięcie kopuły, bezpieczne zaparkowanie teleskopów i wyłączenie urządzeń koniecznych do wykonania tego zadania na wypadek zaniku zasilania w sieci energetycznej. Zasilanie sterowania klapami i obrotu powinno być napięciem bezpiecznym 12V. Kopuła powinna być wyposażona w czujnik pogody (opadów) uruchamiający samoczynne zamknięcie kopuły w przypadku opadu atmosferycznego. Kopuła powinna posiadać potrzebną elektronikę i automatykę do jej obsługi oraz obsługi pracujących w niej teleskopów oraz kamer za pomocą komputera z sali astronomii znajdującej się w tym budynku. Do sali ma być też transmitowany obraz z wnętrza kopuły - podgląd pracy urządzeń. Oprogramowanie obsługujące kopułę powinno funkcjonować na komputerze z systemem operacyjnym Windows XP, Windows 7, Windows 8 i nowszym jeżeli taki będzie dostępny na rynku. Teleskopy pod kopułą powinny być zainstalowane na jednym montażu.</t>
  </si>
  <si>
    <t>np. Coronado SolarMax 60/BF10, LUNT LS60THa/B600CPT, Solarscope UK ST 60/480, SolarView 60 OTA lub inny równoważny</t>
  </si>
  <si>
    <t xml:space="preserve">np. Celestron CGEM DX, Sky-Watcher NEQ6 PRO SynScan, paralaktyczny Meade LX80 EQ/Az lub inny rónoważny  </t>
  </si>
  <si>
    <t>Montaż paralaktyczny z automatycznym prowadzeniem w osi rektacencji i deklinacji do telskopów</t>
  </si>
  <si>
    <t>Słup nośny montażu</t>
  </si>
  <si>
    <t>np. stalowy słup  oraz TopPier</t>
  </si>
  <si>
    <t>Kamera CCD ImagingSource DFK 21AU618.AS, kolorowa kamera CCD Point Grey Chameleon, kamera Moravian Instruments G1-0300C lub inna równoważna</t>
  </si>
  <si>
    <t>Kamera CCD do rejestracji obrazów Słońca, Księżyca i planet. Obraz z kamery ma być eksponowany na monitorze komputera w sali astronomicznej w czasie rzeczywistym. Obraz z kamery ma być rejestrowany za pomocą oprogramowania na komputerze w postaci umożliwiającej utworzenie pliku z obrazem wg standardów przyjętych w astrofotografii (zapis do pliku AVI nieskompresowanego, do przetworzenia za pomocą programu komputerowego w celu uzyskania obrazu w formacie graficznym JPG, BMP, TIF); rejestracja pojedynczych klatek obrazu, nieskompresowanych. rejestracja klatek obrazu z czasami do nasycenia matrycy. Transmisja danych z kamery przez złącze USB. Do kamery należy dokompletować redukcję 1,25" do kamery przemysłowej - jeśli taka nie występuje w zestawie od producenta kamery.
Filtr odcinający promieniowanie podczerwone w czasie rejestracji ekspozycji fotograficznej obiektów kosmicznych. Rozmiar filtra w standardzie mocowania kamery CCD – 1,25”, np. Filtr Baader Planetarium UV/IR-Cut 1,25", Filtr Delta Optical-GSO IR Blocking Filter 1,25”, Filtr IR Cut / IR Block do kamer CCD 1,25'' lub inny równoważny.</t>
  </si>
  <si>
    <t>Kamera CCD do planet z dołączonym filtrem podczerwieni jeśli kamera nie jest w niego wyposażona fabrycznie</t>
  </si>
  <si>
    <t>Kamera CCD do Księżyca z filtrem podczerwieni z dołączonym filtrem podczerwieni jeśli kamera nie jest w niego wyposażona fabrycznie</t>
  </si>
  <si>
    <t>Kamera CCD do Słońca z dołączonym filtrem podczerwieni jeśli kamera nie jest w niego wyposażona fabrycznie</t>
  </si>
  <si>
    <t>Technika obserwacji wybranych w projekcie obiektów jest w zasadzie identyczna. W związku z założeniem, że obraz ma być w formacie live a zachodzące zmiany na obiektach (protuberancje, ruchy atmosfery itp.) mają dać się obserwować w czasie rzeczywistym, wystarczy wybrać jeden typ kamery. Jako, że jednocześnie nie da się obserwować dwoma teleskopami różnych obiektów – np. Słońca i Księżyca lub planet – korzystając z oddzielnych teleskopów (ilość światła od Słońca jest zdecydowanie większa niż od Księżyca czy planet). W przypadku jednoczesnego funkcjonowania np. dwóch kamer tego samego typu na jednym systemie Windows może dojść do konfliktu sprzętowego i braku obrazu z jednej kamery. Wykonawca winien uwzględnić ten fakt w czasie kompletowania sprzętu. Rozwiązaniem jest wyłaczanie pozostałych kamer, np. przez wyjęcie kabla USB w czasie przygotowania do pracy, lub zastosowania specjalnego przełącznika.
Filtr IR-Cut konieczny jest tylko gdy dobierze się kamery bez filtra IR wstawionego fabrycznie. Wskazane kamery są bez owego filtra jako, że filtr astronomiczny jest lepszej jakości – np. lepiej dobrane pasmo, możliwość wymiany w razie potrzeby – i warto go dobrać oddzielnie. W razie konieczności dla kamery planetarnej lub Księżycowej można zastosować dodatkowy filtr pomarańczowy lub żółty, albo niebieski, które poprawią widoczność niektórych szczegółów. Instalacji należy dokonać ręcznie wymieniając rzeczony filtr. Nie przewiduje się jednak realizacji prac na tyle zawansowanych by wymagane było zastosowanie systemu automatycznego zmieniania filtrów w kole filtrowym.</t>
  </si>
  <si>
    <t>Listwa zasilająca</t>
  </si>
  <si>
    <t>listwa Belkin Surge Protector 6 gniazd, listwa przeciwprzepięciowa SIS-3-TUV, Listwa zasilająca 10 gniazd, 550 - 1700 W, 16 A, 230 V, 1,5 m lub inna równoważna</t>
  </si>
  <si>
    <t xml:space="preserve">Listwa zasilajaca do podłączenia co najmniej 5 odbiorników z bezpiecznikiem i fitlrem sieciowym </t>
  </si>
  <si>
    <t>Ever, Power Walker Line-In 2200VA, RJ11, RJ45, USB, APC Power-Saving Back-UPS Pro 900 (BR900G-FR) lub inny równoważny</t>
  </si>
  <si>
    <t>Zasilacz awaryjny UPS</t>
  </si>
  <si>
    <t>np. Celestron C9-S 1.25 XLT OTA (CGE), Meade 8" LX200 ACF, Teleskop Celestron EdgeHD 8" OTA (CG5) lub inny równoważny</t>
  </si>
  <si>
    <t>Teleskop zwierciadlany Newton</t>
  </si>
  <si>
    <t>Teleskop zwierciadlany systemu Newtona o średnicy lustra minimum 14”, montaż Dobsona z napędem elektrycznym i systemem GoTo, wyciąg okularowy z precyzyjną przekładnią 10:1</t>
  </si>
  <si>
    <t>Układ Barlowa ma zapewnić uzyskania maksymalnego powiększenia rozdzielczego oraz zwiększyć różnorodność powiększeń z innymi okularami oprawa stosowana do dobranych okularów, preferowana 2” z redukcją na 1,25”, wieloelementowa z powłokami antyodblaskowymi, na obudowie gwint T2</t>
  </si>
  <si>
    <t>Układ ten zwiększy zakres posiadanych okularów. W obserwacjach wizualnych nie będzie miało znaczenia minimalne pogorszenia jakości obrazu – dla większości jest ono niezauważalne i ma znaczenie dopiero przy astrofotografii; posiadany gwint T2 pozwoli na podłączenie aparatu przez specjalny pierścień – zależny od typu lustrzanki; redukcja średnicy z 2” na 1,25” pozwoli na stosowanie wszystkich okularów w zestawie oraz podłączenie kamery z nosem 1,25”</t>
  </si>
  <si>
    <t>Soczewka Barlow x2</t>
  </si>
  <si>
    <t>Okular 5mm 1,25"</t>
  </si>
  <si>
    <t>Okular 14 mm 2" lub 1,25"</t>
  </si>
  <si>
    <t>Okular 30 mm 2" lub 1,25"</t>
  </si>
  <si>
    <t>okular ortoskopowy firmy Vixen, Baader, Celestron, np. Vixen NLV 5 mm, Baader Hyperion 5 mm, Celestron Ultima LX 5 mm lub inny równoważny</t>
  </si>
  <si>
    <t>Okular o oknstrukcji optycznej lepszej niż super Ploss, ogniskowa ma zapewnić maksymalne powiekszenie rozdzielcze dla warunków polskiego nieba - seeing od 4", odległośc LP co najmniej 20mm, pole widzenia powyżej 45 stopni, ortoskopowy lub lantanowy do obserwacji planet i małych obiektów nieba z duzym powiększeniem.</t>
  </si>
  <si>
    <t>Mocowanie 1,25" lub 2", konstrukcja lepsza  niż super Ploss, ma zpewnić pośrednie powiekszenie dla teleskopu</t>
  </si>
  <si>
    <t>Okular ma zapewnić najmniejsze powiększenie dla teleskopu co pozwoli na obserwację rozległych obiektów nieba: mgławic, galaktyk i przeszukiwanie dużych obszarów z gwiazdami.  2” montaż pozwoli na osiągnięcie najlepszych parametrów obrazu w tej klasie.</t>
  </si>
  <si>
    <t>Okular ma zapewnić uzyskanie poprawnego obrazu przy relatywnie maksymalnym powiększeniu kątowym teleskopu; szkło lantanowe zapewni wysoką jakość i korekcję obrazu w barwach; 20mm odległości dla okaz da komfort obserwacji i ograniczy uderzanie głową o wyciąg przez niewprawne dzieci w czasie obserwacji.</t>
  </si>
  <si>
    <t>Okular ma zapewnić powiększenie pośrednie między okularami w zestawie fabrycznym, odległość LP około 20mm zapewni komfort obserwacji, wysoka jakość szkła i złożoność optyki zapewni dobrej jakości obraz o poprawne korekcji barwnej i geometrycznej</t>
  </si>
  <si>
    <t>Teleskop Sky-Watcher (Synta) Dobson 14" GoTo lub inny równoważny</t>
  </si>
  <si>
    <t>układ Barlowa zwiększający ogniskową x2 firmy Vixen, Baader, Celestron np. 2" BIG Barlow 2x Tele Vue, Barlow 2x ED 2 cale TS Optics, Barlow 2" ED "GSO" 2x lub inny równoważny</t>
  </si>
  <si>
    <t>okular lantanowy firmy Vixen, Baader, Celestron, np. Vixen NLV 15 mm, Tele Vue Radian 14 mm, Baader Hyperion 13 mm lub inny równoważny</t>
  </si>
  <si>
    <t>okular lantanowy firmy Vixen, Baader, Celestron, np. Vixen NLVW 30 mm, asferyczny Baader Hyperion 31 mm, Explore Scientific 30mm 82° lub inny równoważny</t>
  </si>
  <si>
    <t>Teleskop zintegrowany z głowicą fotograficzną</t>
  </si>
  <si>
    <t>Sky-Watcher Virtuoso lub inny równoważny</t>
  </si>
  <si>
    <t>Nowatorskie urządzenie o szerokich możliwościach. Montaż wraz z tubą optyczną, czyli w systemie Maksutova łączy cechy przenośnego teleskopu oraz statywu fotograficznego pozwalającego na wykonywanie timelapsów, fotografowanie wybranych obiektów w określonej kolejności i tworzenie pełnych sferycznych panoram.</t>
  </si>
  <si>
    <t>Komputer klasy PC Lenovo IdeaCentre K410 i5-3330 1TB HD7570 W8 + BenQ GL955A, ASUS CM6870-PL005D, Acer Aspir XC600 i5-3330/6GB/500GB/HD8570/WIn8 lub inny równoważny</t>
  </si>
  <si>
    <t>Komputer klasy PC z procesorem I5 lub lepszym, karta sieciowa gigabitowa, złącza USB w tym USB 2.0 i 3.0, czytnik optyczny z nagrywarką DVD, czytnik kart SD i nowszych,  16 GB RAM, dedykowana karta graficzna z minimum 2 GB własnej pamięci RAM, klawiatura, mysz komputerowa optyczna bezprzewodowa, system operacyjny Windows 7/8, monitor min. 22” LED</t>
  </si>
  <si>
    <t>Komputer PC do sterowania kopułą i sprzętem oraz przetwarzania rejestrowanych obrazów</t>
  </si>
  <si>
    <t>WYKAZ RZECZOWO-CENOWY</t>
  </si>
  <si>
    <t>załącznik nr 2 do SIWZ</t>
  </si>
  <si>
    <t>WARTOŚĆ BRUTTO OGÓŁEM</t>
  </si>
  <si>
    <t>Cena jednostkowa brutto</t>
  </si>
  <si>
    <t>Proponowany asortyment  (nazwa produktu, symbol, producent, opis)</t>
  </si>
  <si>
    <t>RAZEM:</t>
  </si>
  <si>
    <t>Teleskop achromatyczny, średnica obiektywu minimum 60mm, ogniskowa minimum 400mm, filtr Hα, wąskie pasmo np. 0,7Å ÷ 0,5Å, teleskop powinien umożliwiać obserwację fotosfery i korony Słońca np. poprzez zmianę ustawienia filtra. Teleskop Słoneczny powinien być zamontowany na wspólnym montażu z teleskopem księżycowym i planetarnym. Jeśli w komplecie nie ma dovetail i bejm należy je dokompletować w podstawowym standardzie.</t>
  </si>
  <si>
    <t>170/ZP/RCRE/POKL9.1.2/2013</t>
  </si>
  <si>
    <t xml:space="preserve">WYMAGANIA DOT. MONTAŻU/REALIZACJI </t>
  </si>
  <si>
    <t>Montaż, instalacja oraz uruchomienie</t>
  </si>
  <si>
    <t xml:space="preserve">
W niektórych typach teleskopów producent nie przewiduje obejm i mocowania teleskopu do montażu zostawiając to do wyboru użytkownikowi. Dlatego wykonawca musi sam dokompletować te części jeśli one nie wystąpią w komplecie od producenta.</t>
  </si>
  <si>
    <t>Do osadzenia głowicy paralaktycznej montażu preferuje się pier i top pier. System ten pozwoli na obserwacje obiektów nawet wtedy gdy znajda się na wysokich deklinacjach. Tubusy teleskopów i kamery nie zahaczają o nogi statywu i znajdują się w bezpiecznych odległościach od słupa. Słup da również dużo solidniejszą podstawę dla systemu prowadzenia. Dzięki temu justowanie montażu na biegun północny nieba będzie znacznie dłużej utrzymywany w zadanych wartościach niż na statywie trójnogu z racji ograniczenia drgań i minimalnych przemieszczeń. Dodatkowo zabezpieczy on montaż od drgań wywołanych przez osobę serwisująca urządzenia kopuły i teleskopy. Słup można odizolować od konstrukcji podłogi. Chodzenia po podłodze, podmuchy wiatru na ściany kopuły nie są przenoszone na montaż i nie zmieniają orientacji montażu. Po uruchomieniu systemu potrafi on skierować teleskopy dokładnie na wybrane obiekty.</t>
  </si>
  <si>
    <r>
      <t xml:space="preserve">zaleca się zgodnie z wymogami UE wyposażenie Sali w komputer o wystarczającej wydajności obliczeniowej do obróbki obrazu posiadający znak dopuszczenia CE. </t>
    </r>
    <r>
      <rPr>
        <sz val="8"/>
        <rFont val="Calibri"/>
        <family val="2"/>
      </rPr>
      <t xml:space="preserve"> </t>
    </r>
    <r>
      <rPr>
        <sz val="8"/>
        <color indexed="8"/>
        <rFont val="Calibri"/>
        <family val="2"/>
      </rPr>
      <t>Zestaw na obejmować</t>
    </r>
    <r>
      <rPr>
        <sz val="8"/>
        <color indexed="10"/>
        <rFont val="Calibri"/>
        <family val="2"/>
      </rPr>
      <t xml:space="preserve"> </t>
    </r>
    <r>
      <rPr>
        <sz val="8"/>
        <rFont val="Calibri"/>
        <family val="2"/>
      </rPr>
      <t>wszystkie konieczne komponenty - PC, monitor, mysz, klawiature i głośniki</t>
    </r>
  </si>
</sst>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zł-415]_-;\-* #,##0.00\ [$zł-415]_-;_-* &quot;-&quot;??\ [$zł-415]_-;_-@_-"/>
    <numFmt numFmtId="165" formatCode="#,##0.00\ &quot;zł&quot;"/>
    <numFmt numFmtId="166" formatCode="0\ &quot;mm&quot;"/>
    <numFmt numFmtId="167" formatCode="&quot;f/&quot;\ 0.0"/>
    <numFmt numFmtId="168" formatCode="0.0&quot;''&quot;"/>
    <numFmt numFmtId="169" formatCode="0.0\ &quot;m&quot;"/>
    <numFmt numFmtId="170" formatCode="0.0\ &quot;x&quot;"/>
    <numFmt numFmtId="171" formatCode="0&quot;x&quot;"/>
    <numFmt numFmtId="172" formatCode="0\ &quot;x&quot;"/>
    <numFmt numFmtId="173" formatCode="0&quot;'&quot;"/>
    <numFmt numFmtId="174" formatCode="0.0"/>
    <numFmt numFmtId="175" formatCode="0.00&quot;''&quot;"/>
    <numFmt numFmtId="176" formatCode="&quot;f/ &quot;0.0\ "/>
    <numFmt numFmtId="177" formatCode="0.00\ &quot;mm&quot;"/>
    <numFmt numFmtId="178" formatCode="0.0000\ &quot;s&quot;"/>
    <numFmt numFmtId="179" formatCode="0.0\ &quot;mm&quot;"/>
    <numFmt numFmtId="180" formatCode="#,##0.00\ _z_ł;[Red]#,##\&lt;\1\ 0.00\ _z_ł"/>
    <numFmt numFmtId="181" formatCode="0\ &quot;ASA&quot;"/>
  </numFmts>
  <fonts count="41">
    <font>
      <sz val="10"/>
      <name val="Arial"/>
      <family val="0"/>
    </font>
    <font>
      <sz val="11"/>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family val="0"/>
    </font>
    <font>
      <b/>
      <sz val="16"/>
      <name val="Arial CE"/>
      <family val="2"/>
    </font>
    <font>
      <b/>
      <sz val="8"/>
      <name val="Arial CE"/>
      <family val="2"/>
    </font>
    <font>
      <b/>
      <u val="single"/>
      <sz val="8"/>
      <color indexed="12"/>
      <name val="Arial CE"/>
      <family val="2"/>
    </font>
    <font>
      <b/>
      <sz val="8"/>
      <color indexed="8"/>
      <name val="Arial CE"/>
      <family val="2"/>
    </font>
    <font>
      <b/>
      <sz val="8"/>
      <color indexed="9"/>
      <name val="Arial CE"/>
      <family val="2"/>
    </font>
    <font>
      <sz val="8"/>
      <name val="Arial CE"/>
      <family val="2"/>
    </font>
    <font>
      <sz val="10"/>
      <name val="Arial CE"/>
      <family val="2"/>
    </font>
    <font>
      <b/>
      <sz val="10"/>
      <name val="Arial CE"/>
      <family val="2"/>
    </font>
    <font>
      <sz val="7"/>
      <name val="Arial CE"/>
      <family val="2"/>
    </font>
    <font>
      <b/>
      <i/>
      <sz val="7"/>
      <color indexed="9"/>
      <name val="Arial CE"/>
      <family val="2"/>
    </font>
    <font>
      <b/>
      <i/>
      <sz val="8"/>
      <name val="Arial CE"/>
      <family val="2"/>
    </font>
    <font>
      <sz val="8"/>
      <name val="Calibri"/>
      <family val="2"/>
    </font>
    <font>
      <sz val="8"/>
      <color indexed="10"/>
      <name val="Calibri"/>
      <family val="2"/>
    </font>
    <font>
      <sz val="8"/>
      <color indexed="8"/>
      <name val="Calibri"/>
      <family val="2"/>
    </font>
    <font>
      <u val="single"/>
      <sz val="10"/>
      <color indexed="12"/>
      <name val="Arial"/>
      <family val="2"/>
    </font>
    <font>
      <b/>
      <sz val="9"/>
      <name val="Calibri"/>
      <family val="2"/>
    </font>
    <font>
      <sz val="9"/>
      <name val="Calibri"/>
      <family val="2"/>
    </font>
    <font>
      <i/>
      <sz val="10"/>
      <name val="Calibri"/>
      <family val="2"/>
    </font>
    <font>
      <b/>
      <sz val="12"/>
      <name val="Calibri"/>
      <family val="2"/>
    </font>
    <font>
      <sz val="12"/>
      <name val="Calibri"/>
      <family val="2"/>
    </font>
    <font>
      <u val="single"/>
      <sz val="10"/>
      <color theme="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indexed="8"/>
        <bgColor indexed="64"/>
      </patternFill>
    </fill>
    <fill>
      <patternFill patternType="solid">
        <fgColor indexed="50"/>
        <bgColor indexed="64"/>
      </patternFill>
    </fill>
    <fill>
      <patternFill patternType="solid">
        <fgColor indexed="40"/>
        <bgColor indexed="64"/>
      </patternFill>
    </fill>
    <fill>
      <patternFill patternType="solid">
        <fgColor theme="0" tint="-0.0499799996614456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top/>
      <bottom/>
    </border>
    <border>
      <left/>
      <right style="thin"/>
      <top style="thin"/>
      <bottom style="thin"/>
    </border>
    <border>
      <left style="thin"/>
      <right style="thin"/>
      <top/>
      <bottom style="thin"/>
    </border>
    <border>
      <left/>
      <right style="thin"/>
      <top/>
      <bottom/>
    </border>
    <border>
      <left/>
      <right/>
      <top/>
      <bottom style="thin"/>
    </border>
    <border>
      <left/>
      <right/>
      <top style="thin"/>
      <bottom style="thin"/>
    </border>
    <border>
      <left style="thin"/>
      <right style="thin"/>
      <top/>
      <bottom/>
    </border>
    <border>
      <left style="thin"/>
      <right style="thin"/>
      <top style="thin"/>
      <bottom/>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 fillId="0" borderId="0">
      <alignment/>
      <protection/>
    </xf>
    <xf numFmtId="0" fontId="13" fillId="20" borderId="1" applyNumberFormat="0" applyAlignment="0" applyProtection="0"/>
    <xf numFmtId="9" fontId="0"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3" borderId="0" applyNumberFormat="0" applyBorder="0" applyAlignment="0" applyProtection="0"/>
  </cellStyleXfs>
  <cellXfs count="140">
    <xf numFmtId="0" fontId="0" fillId="0" borderId="0" xfId="0" applyAlignment="1">
      <alignment/>
    </xf>
    <xf numFmtId="0" fontId="35" fillId="24" borderId="10" xfId="52" applyFont="1" applyFill="1" applyBorder="1" applyAlignment="1">
      <alignment horizontal="center" vertical="center" wrapText="1"/>
      <protection/>
    </xf>
    <xf numFmtId="0" fontId="0" fillId="0" borderId="0" xfId="0" applyAlignment="1">
      <alignment horizontal="center"/>
    </xf>
    <xf numFmtId="0" fontId="20" fillId="0" borderId="0" xfId="0" applyFont="1" applyAlignment="1">
      <alignment horizontal="center"/>
    </xf>
    <xf numFmtId="166" fontId="24" fillId="25" borderId="0" xfId="0" applyNumberFormat="1" applyFont="1" applyFill="1" applyBorder="1" applyAlignment="1" applyProtection="1">
      <alignment/>
      <protection locked="0"/>
    </xf>
    <xf numFmtId="167" fontId="25" fillId="0" borderId="0" xfId="0" applyNumberFormat="1" applyFont="1" applyFill="1" applyAlignment="1">
      <alignment horizontal="center"/>
    </xf>
    <xf numFmtId="168" fontId="25" fillId="0" borderId="0" xfId="0" applyNumberFormat="1" applyFont="1" applyFill="1" applyAlignment="1">
      <alignment horizontal="center"/>
    </xf>
    <xf numFmtId="169" fontId="25" fillId="0" borderId="0" xfId="0" applyNumberFormat="1" applyFont="1" applyFill="1" applyAlignment="1">
      <alignment horizontal="center"/>
    </xf>
    <xf numFmtId="170" fontId="25" fillId="0" borderId="0" xfId="0" applyNumberFormat="1" applyFont="1" applyFill="1" applyAlignment="1">
      <alignment horizontal="center"/>
    </xf>
    <xf numFmtId="166" fontId="25" fillId="0" borderId="0" xfId="0" applyNumberFormat="1" applyFont="1" applyAlignment="1">
      <alignment horizontal="left"/>
    </xf>
    <xf numFmtId="171" fontId="25" fillId="0" borderId="0" xfId="0" applyNumberFormat="1" applyFont="1" applyFill="1" applyAlignment="1">
      <alignment horizontal="center"/>
    </xf>
    <xf numFmtId="0" fontId="25" fillId="0" borderId="0" xfId="0" applyFont="1" applyAlignment="1">
      <alignment horizontal="left"/>
    </xf>
    <xf numFmtId="166" fontId="25" fillId="0" borderId="0" xfId="0" applyNumberFormat="1" applyFont="1" applyAlignment="1">
      <alignment horizontal="center"/>
    </xf>
    <xf numFmtId="166" fontId="24" fillId="25" borderId="0" xfId="0" applyNumberFormat="1" applyFont="1" applyFill="1" applyAlignment="1" applyProtection="1">
      <alignment horizontal="center"/>
      <protection locked="0"/>
    </xf>
    <xf numFmtId="172" fontId="26" fillId="0" borderId="0" xfId="0" applyNumberFormat="1" applyFont="1" applyFill="1" applyAlignment="1">
      <alignment/>
    </xf>
    <xf numFmtId="0" fontId="26" fillId="0" borderId="0" xfId="0" applyFont="1" applyAlignment="1">
      <alignment horizontal="center"/>
    </xf>
    <xf numFmtId="169" fontId="26" fillId="0" borderId="0" xfId="0" applyNumberFormat="1" applyFont="1" applyFill="1" applyAlignment="1">
      <alignment/>
    </xf>
    <xf numFmtId="0" fontId="0" fillId="0" borderId="0" xfId="0" applyFill="1" applyAlignment="1">
      <alignment horizontal="center"/>
    </xf>
    <xf numFmtId="1" fontId="25" fillId="8" borderId="0" xfId="0" applyNumberFormat="1" applyFont="1" applyFill="1" applyAlignment="1">
      <alignment horizontal="center"/>
    </xf>
    <xf numFmtId="0" fontId="25" fillId="8" borderId="0" xfId="0" applyFont="1" applyFill="1" applyAlignment="1">
      <alignment horizontal="center"/>
    </xf>
    <xf numFmtId="173" fontId="25" fillId="0" borderId="10" xfId="0" applyNumberFormat="1" applyFont="1" applyBorder="1" applyAlignment="1">
      <alignment horizontal="center"/>
    </xf>
    <xf numFmtId="173" fontId="25" fillId="0" borderId="11" xfId="0" applyNumberFormat="1" applyFont="1" applyBorder="1" applyAlignment="1">
      <alignment horizontal="center"/>
    </xf>
    <xf numFmtId="171" fontId="25" fillId="8" borderId="12" xfId="0" applyNumberFormat="1" applyFont="1" applyFill="1" applyBorder="1" applyAlignment="1">
      <alignment horizontal="center"/>
    </xf>
    <xf numFmtId="173" fontId="21" fillId="0" borderId="10" xfId="0" applyNumberFormat="1" applyFont="1" applyBorder="1" applyAlignment="1">
      <alignment horizontal="center"/>
    </xf>
    <xf numFmtId="173" fontId="25" fillId="0" borderId="10" xfId="0" applyNumberFormat="1" applyFont="1" applyFill="1" applyBorder="1" applyAlignment="1">
      <alignment horizontal="center"/>
    </xf>
    <xf numFmtId="0" fontId="25" fillId="0" borderId="0" xfId="0" applyFont="1" applyAlignment="1">
      <alignment/>
    </xf>
    <xf numFmtId="0" fontId="0" fillId="17" borderId="0" xfId="0" applyFill="1" applyBorder="1" applyAlignment="1">
      <alignment horizontal="center"/>
    </xf>
    <xf numFmtId="0" fontId="25" fillId="0" borderId="0" xfId="0" applyFont="1" applyAlignment="1">
      <alignment horizontal="center"/>
    </xf>
    <xf numFmtId="0" fontId="0" fillId="0" borderId="0" xfId="0" applyAlignment="1">
      <alignment horizontal="right"/>
    </xf>
    <xf numFmtId="0" fontId="0" fillId="7" borderId="0" xfId="0" applyFill="1" applyBorder="1" applyAlignment="1">
      <alignment horizontal="center"/>
    </xf>
    <xf numFmtId="0" fontId="0" fillId="26" borderId="0" xfId="0" applyFill="1" applyBorder="1" applyAlignment="1">
      <alignment horizontal="center"/>
    </xf>
    <xf numFmtId="0" fontId="0" fillId="5" borderId="0" xfId="0" applyFill="1" applyBorder="1" applyAlignment="1">
      <alignment horizontal="center"/>
    </xf>
    <xf numFmtId="174" fontId="25" fillId="0" borderId="10" xfId="0" applyNumberFormat="1" applyFont="1" applyBorder="1" applyAlignment="1">
      <alignment horizontal="center"/>
    </xf>
    <xf numFmtId="0" fontId="25" fillId="8" borderId="0" xfId="0" applyFont="1" applyFill="1" applyBorder="1" applyAlignment="1">
      <alignment horizontal="center"/>
    </xf>
    <xf numFmtId="2" fontId="25" fillId="0" borderId="10" xfId="0" applyNumberFormat="1" applyFont="1" applyFill="1" applyBorder="1" applyAlignment="1">
      <alignment horizontal="center"/>
    </xf>
    <xf numFmtId="0" fontId="28" fillId="8" borderId="0" xfId="0" applyFont="1" applyFill="1" applyAlignment="1">
      <alignment horizontal="left"/>
    </xf>
    <xf numFmtId="2" fontId="25" fillId="0" borderId="10" xfId="0" applyNumberFormat="1" applyFont="1" applyBorder="1" applyAlignment="1">
      <alignment horizontal="center"/>
    </xf>
    <xf numFmtId="0" fontId="25" fillId="0" borderId="10" xfId="0" applyFont="1" applyBorder="1" applyAlignment="1">
      <alignment horizontal="center"/>
    </xf>
    <xf numFmtId="175" fontId="25" fillId="0" borderId="10" xfId="0" applyNumberFormat="1" applyFont="1" applyFill="1" applyBorder="1" applyAlignment="1">
      <alignment horizontal="center"/>
    </xf>
    <xf numFmtId="2" fontId="30" fillId="0" borderId="10" xfId="0" applyNumberFormat="1" applyFont="1" applyBorder="1" applyAlignment="1" applyProtection="1">
      <alignment horizontal="center"/>
      <protection locked="0"/>
    </xf>
    <xf numFmtId="0" fontId="30" fillId="0" borderId="10" xfId="0" applyFont="1" applyBorder="1" applyAlignment="1" applyProtection="1">
      <alignment horizontal="center"/>
      <protection locked="0"/>
    </xf>
    <xf numFmtId="0" fontId="0" fillId="0" borderId="0" xfId="0" applyAlignment="1">
      <alignment horizontal="center" wrapText="1"/>
    </xf>
    <xf numFmtId="0" fontId="28" fillId="8" borderId="0" xfId="0" applyFont="1" applyFill="1" applyAlignment="1">
      <alignment horizontal="center" vertical="top" textRotation="90" wrapText="1"/>
    </xf>
    <xf numFmtId="0" fontId="28" fillId="27" borderId="0" xfId="0" applyFont="1" applyFill="1" applyAlignment="1">
      <alignment horizontal="center" vertical="top" textRotation="90" wrapText="1"/>
    </xf>
    <xf numFmtId="0" fontId="0" fillId="17" borderId="0" xfId="0" applyFill="1" applyAlignment="1">
      <alignment horizontal="center"/>
    </xf>
    <xf numFmtId="0" fontId="27" fillId="0" borderId="0" xfId="0" applyFont="1" applyAlignment="1">
      <alignment horizontal="center"/>
    </xf>
    <xf numFmtId="176" fontId="25" fillId="5" borderId="13" xfId="0" applyNumberFormat="1" applyFont="1" applyFill="1" applyBorder="1" applyAlignment="1">
      <alignment/>
    </xf>
    <xf numFmtId="166" fontId="25" fillId="5" borderId="13" xfId="0" applyNumberFormat="1" applyFont="1" applyFill="1" applyBorder="1" applyAlignment="1">
      <alignment/>
    </xf>
    <xf numFmtId="168" fontId="25" fillId="0" borderId="13" xfId="0" applyNumberFormat="1" applyFont="1" applyBorder="1" applyAlignment="1" applyProtection="1">
      <alignment horizontal="center"/>
      <protection locked="0"/>
    </xf>
    <xf numFmtId="177" fontId="25" fillId="0" borderId="10" xfId="0" applyNumberFormat="1" applyFont="1" applyBorder="1" applyAlignment="1">
      <alignment horizontal="center"/>
    </xf>
    <xf numFmtId="178" fontId="25" fillId="0" borderId="10" xfId="0" applyNumberFormat="1" applyFont="1" applyBorder="1" applyAlignment="1">
      <alignment horizontal="center"/>
    </xf>
    <xf numFmtId="177" fontId="25" fillId="0" borderId="14" xfId="0" applyNumberFormat="1" applyFont="1" applyFill="1" applyBorder="1" applyAlignment="1">
      <alignment horizontal="center"/>
    </xf>
    <xf numFmtId="179" fontId="25" fillId="0" borderId="14" xfId="0" applyNumberFormat="1" applyFont="1" applyBorder="1" applyAlignment="1">
      <alignment horizontal="center"/>
    </xf>
    <xf numFmtId="178" fontId="25" fillId="0" borderId="14" xfId="0" applyNumberFormat="1" applyFont="1" applyBorder="1" applyAlignment="1">
      <alignment horizontal="center"/>
    </xf>
    <xf numFmtId="177" fontId="25" fillId="0" borderId="10" xfId="0" applyNumberFormat="1" applyFont="1" applyFill="1" applyBorder="1" applyAlignment="1">
      <alignment horizontal="center"/>
    </xf>
    <xf numFmtId="179" fontId="25" fillId="0" borderId="10" xfId="0" applyNumberFormat="1" applyFont="1" applyBorder="1" applyAlignment="1">
      <alignment horizontal="center"/>
    </xf>
    <xf numFmtId="0" fontId="21" fillId="0" borderId="0" xfId="0" applyFont="1" applyAlignment="1">
      <alignment horizontal="left"/>
    </xf>
    <xf numFmtId="0" fontId="25" fillId="8" borderId="0" xfId="0" applyFont="1" applyFill="1" applyBorder="1" applyAlignment="1">
      <alignment horizontal="left"/>
    </xf>
    <xf numFmtId="0" fontId="25" fillId="8" borderId="15" xfId="0" applyFont="1" applyFill="1" applyBorder="1" applyAlignment="1">
      <alignment horizontal="left"/>
    </xf>
    <xf numFmtId="0" fontId="0" fillId="7" borderId="0" xfId="0" applyFill="1" applyAlignment="1">
      <alignment horizontal="left"/>
    </xf>
    <xf numFmtId="0" fontId="0" fillId="3" borderId="0" xfId="0" applyFill="1" applyAlignment="1">
      <alignment horizontal="center"/>
    </xf>
    <xf numFmtId="0" fontId="0" fillId="20" borderId="0" xfId="0" applyFill="1" applyAlignment="1">
      <alignment horizontal="center"/>
    </xf>
    <xf numFmtId="168" fontId="21" fillId="0" borderId="13" xfId="0" applyNumberFormat="1" applyFont="1" applyBorder="1" applyAlignment="1" applyProtection="1">
      <alignment horizontal="center"/>
      <protection locked="0"/>
    </xf>
    <xf numFmtId="177" fontId="21" fillId="0" borderId="10" xfId="0" applyNumberFormat="1" applyFont="1" applyBorder="1" applyAlignment="1">
      <alignment horizontal="center"/>
    </xf>
    <xf numFmtId="178" fontId="21" fillId="0" borderId="10" xfId="0" applyNumberFormat="1" applyFont="1" applyBorder="1" applyAlignment="1">
      <alignment horizontal="center"/>
    </xf>
    <xf numFmtId="177" fontId="21" fillId="0" borderId="10" xfId="0" applyNumberFormat="1" applyFont="1" applyFill="1" applyBorder="1" applyAlignment="1">
      <alignment horizontal="center"/>
    </xf>
    <xf numFmtId="179" fontId="21" fillId="0" borderId="10" xfId="0" applyNumberFormat="1" applyFont="1" applyBorder="1" applyAlignment="1">
      <alignment horizontal="center"/>
    </xf>
    <xf numFmtId="180" fontId="0" fillId="0" borderId="0" xfId="0" applyNumberFormat="1" applyAlignment="1">
      <alignment horizontal="center"/>
    </xf>
    <xf numFmtId="0" fontId="25" fillId="8" borderId="10" xfId="0" applyFont="1" applyFill="1" applyBorder="1" applyAlignment="1">
      <alignment horizontal="center" textRotation="90" wrapText="1"/>
    </xf>
    <xf numFmtId="0" fontId="25" fillId="8" borderId="14" xfId="0" applyFont="1" applyFill="1" applyBorder="1" applyAlignment="1">
      <alignment horizontal="center" textRotation="90" wrapText="1"/>
    </xf>
    <xf numFmtId="0" fontId="25" fillId="5" borderId="10" xfId="0" applyFont="1" applyFill="1" applyBorder="1" applyAlignment="1">
      <alignment horizontal="center" textRotation="90" wrapText="1"/>
    </xf>
    <xf numFmtId="181" fontId="24" fillId="25" borderId="10" xfId="0" applyNumberFormat="1" applyFont="1" applyFill="1" applyBorder="1" applyAlignment="1" applyProtection="1">
      <alignment horizontal="center"/>
      <protection locked="0"/>
    </xf>
    <xf numFmtId="0" fontId="25" fillId="0" borderId="0" xfId="0" applyFont="1" applyAlignment="1">
      <alignment horizontal="right"/>
    </xf>
    <xf numFmtId="166" fontId="24" fillId="25" borderId="10" xfId="0" applyNumberFormat="1" applyFont="1" applyFill="1" applyBorder="1" applyAlignment="1" applyProtection="1">
      <alignment horizontal="left"/>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164" fontId="36" fillId="0" borderId="0" xfId="0" applyNumberFormat="1" applyFont="1" applyFill="1" applyBorder="1" applyAlignment="1">
      <alignment vertical="center"/>
    </xf>
    <xf numFmtId="0" fontId="36" fillId="0" borderId="0" xfId="0" applyFont="1" applyFill="1" applyBorder="1" applyAlignment="1">
      <alignment vertical="center" wrapText="1"/>
    </xf>
    <xf numFmtId="0" fontId="35" fillId="24" borderId="10" xfId="52" applyFont="1" applyFill="1" applyBorder="1" applyAlignment="1">
      <alignment horizontal="left" vertical="center" wrapText="1"/>
      <protection/>
    </xf>
    <xf numFmtId="165" fontId="35" fillId="24" borderId="10" xfId="0" applyNumberFormat="1" applyFont="1" applyFill="1" applyBorder="1" applyAlignment="1">
      <alignment horizontal="center" vertical="center"/>
    </xf>
    <xf numFmtId="0" fontId="36" fillId="28" borderId="0" xfId="0" applyFont="1" applyFill="1" applyAlignment="1">
      <alignment horizontal="center" vertical="center"/>
    </xf>
    <xf numFmtId="0" fontId="31" fillId="0" borderId="10" xfId="52" applyFont="1" applyFill="1" applyBorder="1" applyAlignment="1">
      <alignment horizontal="center" vertical="center" wrapText="1"/>
      <protection/>
    </xf>
    <xf numFmtId="0" fontId="31" fillId="0" borderId="10" xfId="52" applyFont="1" applyFill="1" applyBorder="1" applyAlignment="1">
      <alignment horizontal="left" vertical="center" wrapText="1"/>
      <protection/>
    </xf>
    <xf numFmtId="165" fontId="31" fillId="0" borderId="10" xfId="52" applyNumberFormat="1" applyFont="1" applyFill="1" applyBorder="1" applyAlignment="1">
      <alignment horizontal="left" vertical="center" wrapText="1"/>
      <protection/>
    </xf>
    <xf numFmtId="0" fontId="31" fillId="0" borderId="10" xfId="52" applyNumberFormat="1" applyFont="1" applyFill="1" applyBorder="1" applyAlignment="1">
      <alignment horizontal="center" vertical="center" wrapText="1"/>
      <protection/>
    </xf>
    <xf numFmtId="165" fontId="31" fillId="0" borderId="10" xfId="52" applyNumberFormat="1" applyFont="1" applyFill="1" applyBorder="1" applyAlignment="1">
      <alignment horizontal="center" vertical="center" wrapText="1"/>
      <protection/>
    </xf>
    <xf numFmtId="8" fontId="31" fillId="0" borderId="10" xfId="52" applyNumberFormat="1" applyFont="1" applyFill="1" applyBorder="1" applyAlignment="1">
      <alignment horizontal="left" vertical="center" wrapText="1"/>
      <protection/>
    </xf>
    <xf numFmtId="0" fontId="31" fillId="0" borderId="10" xfId="0" applyFont="1" applyFill="1" applyBorder="1" applyAlignment="1">
      <alignment horizontal="left" vertical="center" wrapText="1"/>
    </xf>
    <xf numFmtId="49" fontId="31" fillId="0" borderId="10" xfId="0" applyNumberFormat="1" applyFont="1" applyFill="1" applyBorder="1" applyAlignment="1">
      <alignment horizontal="left" vertical="center" wrapText="1"/>
    </xf>
    <xf numFmtId="0" fontId="31" fillId="0" borderId="10" xfId="0" applyFont="1" applyFill="1" applyBorder="1" applyAlignment="1">
      <alignment horizontal="center" vertical="center"/>
    </xf>
    <xf numFmtId="0" fontId="31" fillId="0" borderId="0" xfId="0" applyFont="1" applyFill="1" applyBorder="1" applyAlignment="1">
      <alignment vertical="center"/>
    </xf>
    <xf numFmtId="165" fontId="31" fillId="0" borderId="10" xfId="52" applyNumberFormat="1" applyFont="1" applyFill="1" applyBorder="1" applyAlignment="1">
      <alignment horizontal="left" vertical="center" wrapText="1"/>
      <protection/>
    </xf>
    <xf numFmtId="0" fontId="31" fillId="0" borderId="0" xfId="0" applyFont="1" applyFill="1" applyBorder="1" applyAlignment="1">
      <alignment horizontal="left" vertical="center" wrapText="1"/>
    </xf>
    <xf numFmtId="0" fontId="31" fillId="0" borderId="10" xfId="0" applyNumberFormat="1" applyFont="1" applyFill="1" applyBorder="1" applyAlignment="1">
      <alignment horizontal="left" vertical="center" wrapText="1"/>
    </xf>
    <xf numFmtId="0" fontId="38" fillId="28" borderId="16" xfId="0" applyFont="1" applyFill="1" applyBorder="1" applyAlignment="1">
      <alignment horizontal="center" vertical="center"/>
    </xf>
    <xf numFmtId="0" fontId="35" fillId="24" borderId="11" xfId="0" applyFont="1" applyFill="1" applyBorder="1" applyAlignment="1">
      <alignment horizontal="right" vertical="center"/>
    </xf>
    <xf numFmtId="0" fontId="35" fillId="24" borderId="17" xfId="0" applyFont="1" applyFill="1" applyBorder="1" applyAlignment="1">
      <alignment horizontal="right" vertical="center"/>
    </xf>
    <xf numFmtId="0" fontId="35" fillId="24" borderId="13" xfId="0" applyFont="1" applyFill="1" applyBorder="1" applyAlignment="1">
      <alignment horizontal="right" vertical="center"/>
    </xf>
    <xf numFmtId="164" fontId="39" fillId="28" borderId="16" xfId="0" applyNumberFormat="1" applyFont="1" applyFill="1" applyBorder="1" applyAlignment="1">
      <alignment horizontal="center" vertical="center"/>
    </xf>
    <xf numFmtId="179" fontId="0" fillId="0" borderId="0" xfId="0" applyNumberFormat="1" applyAlignment="1">
      <alignment horizontal="center"/>
    </xf>
    <xf numFmtId="0" fontId="25" fillId="5" borderId="18" xfId="0" applyFont="1" applyFill="1" applyBorder="1" applyAlignment="1">
      <alignment horizontal="center" textRotation="90" wrapText="1"/>
    </xf>
    <xf numFmtId="0" fontId="25" fillId="5" borderId="14" xfId="0" applyFont="1" applyFill="1" applyBorder="1" applyAlignment="1">
      <alignment horizontal="center" textRotation="90" wrapText="1"/>
    </xf>
    <xf numFmtId="0" fontId="25" fillId="0" borderId="0" xfId="0" applyFont="1" applyFill="1" applyAlignment="1">
      <alignment horizontal="right" wrapText="1"/>
    </xf>
    <xf numFmtId="0" fontId="21" fillId="0" borderId="0" xfId="0" applyFont="1" applyFill="1" applyAlignment="1">
      <alignment horizontal="right" wrapText="1"/>
    </xf>
    <xf numFmtId="0" fontId="21" fillId="0" borderId="0" xfId="0" applyFont="1" applyAlignment="1">
      <alignment horizontal="center"/>
    </xf>
    <xf numFmtId="0" fontId="25" fillId="8" borderId="0" xfId="0" applyFont="1" applyFill="1" applyBorder="1" applyAlignment="1">
      <alignment horizontal="left"/>
    </xf>
    <xf numFmtId="0" fontId="25" fillId="8" borderId="15" xfId="0" applyFont="1" applyFill="1" applyBorder="1" applyAlignment="1">
      <alignment horizontal="left"/>
    </xf>
    <xf numFmtId="0" fontId="21" fillId="8" borderId="0" xfId="0" applyFont="1" applyFill="1" applyBorder="1" applyAlignment="1">
      <alignment horizontal="left"/>
    </xf>
    <xf numFmtId="0" fontId="21" fillId="8" borderId="15" xfId="0" applyFont="1" applyFill="1" applyBorder="1" applyAlignment="1">
      <alignment horizontal="left"/>
    </xf>
    <xf numFmtId="178" fontId="25" fillId="0" borderId="19" xfId="0" applyNumberFormat="1" applyFont="1" applyBorder="1" applyAlignment="1">
      <alignment horizontal="center" vertical="center"/>
    </xf>
    <xf numFmtId="178" fontId="25" fillId="0" borderId="14" xfId="0" applyNumberFormat="1" applyFont="1" applyBorder="1" applyAlignment="1">
      <alignment horizontal="center" vertical="center"/>
    </xf>
    <xf numFmtId="0" fontId="25" fillId="0" borderId="19" xfId="0" applyFont="1" applyBorder="1" applyAlignment="1">
      <alignment horizontal="center" vertical="center"/>
    </xf>
    <xf numFmtId="0" fontId="25" fillId="0" borderId="18" xfId="0" applyFont="1" applyBorder="1" applyAlignment="1">
      <alignment horizontal="center" vertical="center"/>
    </xf>
    <xf numFmtId="0" fontId="25" fillId="0" borderId="14" xfId="0"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Alignment="1">
      <alignment horizontal="left"/>
    </xf>
    <xf numFmtId="0" fontId="29" fillId="25" borderId="0" xfId="0" applyFont="1" applyFill="1" applyAlignment="1" applyProtection="1">
      <alignment horizontal="left"/>
      <protection locked="0"/>
    </xf>
    <xf numFmtId="0" fontId="27" fillId="0" borderId="0" xfId="0" applyFont="1" applyAlignment="1">
      <alignment horizontal="center"/>
    </xf>
    <xf numFmtId="0" fontId="25" fillId="5" borderId="11" xfId="0" applyFont="1" applyFill="1" applyBorder="1" applyAlignment="1">
      <alignment horizontal="left"/>
    </xf>
    <xf numFmtId="0" fontId="25" fillId="5" borderId="17" xfId="0" applyFont="1" applyFill="1" applyBorder="1" applyAlignment="1">
      <alignment horizontal="left"/>
    </xf>
    <xf numFmtId="168" fontId="25" fillId="0" borderId="13" xfId="0" applyNumberFormat="1" applyFont="1" applyBorder="1" applyAlignment="1" applyProtection="1">
      <alignment horizontal="center" vertical="center"/>
      <protection locked="0"/>
    </xf>
    <xf numFmtId="177" fontId="25" fillId="0" borderId="10" xfId="0" applyNumberFormat="1" applyFont="1" applyBorder="1" applyAlignment="1">
      <alignment horizontal="center" vertical="center"/>
    </xf>
    <xf numFmtId="177" fontId="25" fillId="0" borderId="10" xfId="0" applyNumberFormat="1" applyFont="1" applyFill="1" applyBorder="1" applyAlignment="1">
      <alignment horizontal="center" vertical="center"/>
    </xf>
    <xf numFmtId="179" fontId="25" fillId="0" borderId="10" xfId="0" applyNumberFormat="1" applyFont="1" applyBorder="1" applyAlignment="1">
      <alignment horizontal="center" vertical="center"/>
    </xf>
    <xf numFmtId="0" fontId="28" fillId="27" borderId="0" xfId="0" applyFont="1" applyFill="1" applyAlignment="1">
      <alignment horizontal="left"/>
    </xf>
    <xf numFmtId="0" fontId="21" fillId="0" borderId="0" xfId="0" applyFont="1" applyAlignment="1">
      <alignment horizontal="left" vertical="center"/>
    </xf>
    <xf numFmtId="0" fontId="26" fillId="0" borderId="0" xfId="0" applyFont="1" applyAlignment="1">
      <alignment horizontal="center"/>
    </xf>
    <xf numFmtId="0" fontId="26" fillId="0" borderId="0" xfId="0" applyFont="1" applyAlignment="1">
      <alignment horizontal="right" vertical="center" textRotation="90"/>
    </xf>
    <xf numFmtId="0" fontId="28" fillId="8" borderId="0" xfId="0" applyFont="1" applyFill="1" applyAlignment="1">
      <alignment horizontal="left"/>
    </xf>
    <xf numFmtId="0" fontId="25" fillId="0" borderId="20"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0" xfId="0" applyFont="1" applyBorder="1" applyAlignment="1">
      <alignment horizontal="left" vertical="center" textRotation="180"/>
    </xf>
    <xf numFmtId="0" fontId="21" fillId="0" borderId="0" xfId="0" applyFont="1" applyAlignment="1">
      <alignment horizontal="left" vertical="top"/>
    </xf>
    <xf numFmtId="0" fontId="21" fillId="0" borderId="0" xfId="0" applyFont="1" applyAlignment="1">
      <alignment horizontal="left"/>
    </xf>
    <xf numFmtId="0" fontId="20" fillId="0" borderId="0" xfId="0" applyFont="1" applyAlignment="1">
      <alignment horizontal="center"/>
    </xf>
    <xf numFmtId="0" fontId="22" fillId="0" borderId="0" xfId="44" applyFont="1" applyAlignment="1" applyProtection="1">
      <alignment horizontal="center"/>
      <protection/>
    </xf>
    <xf numFmtId="0" fontId="23" fillId="0" borderId="0" xfId="0" applyFont="1" applyFill="1" applyAlignment="1">
      <alignment horizontal="left"/>
    </xf>
    <xf numFmtId="0" fontId="37" fillId="28" borderId="16" xfId="0" applyFont="1" applyFill="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0">
    <dxf>
      <fill>
        <patternFill>
          <bgColor indexed="46"/>
        </patternFill>
      </fill>
    </dxf>
    <dxf>
      <fill>
        <patternFill>
          <bgColor indexed="10"/>
        </patternFill>
      </fill>
    </dxf>
    <dxf>
      <fill>
        <patternFill>
          <bgColor indexed="47"/>
        </patternFill>
      </fill>
    </dxf>
    <dxf>
      <fill>
        <patternFill>
          <bgColor indexed="10"/>
        </patternFill>
      </fill>
    </dxf>
    <dxf>
      <fill>
        <patternFill>
          <bgColor indexed="50"/>
        </patternFill>
      </fill>
    </dxf>
    <dxf>
      <fill>
        <patternFill>
          <bgColor indexed="45"/>
        </patternFill>
      </fill>
    </dxf>
    <dxf>
      <fill>
        <patternFill>
          <bgColor indexed="47"/>
        </patternFill>
      </fill>
    </dxf>
    <dxf>
      <fill>
        <patternFill>
          <bgColor indexed="45"/>
        </patternFill>
      </fill>
    </dxf>
    <dxf>
      <fill>
        <patternFill>
          <bgColor indexed="47"/>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smo.prv.pl/" TargetMode="External" /><Relationship Id="rId2" Type="http://schemas.openxmlformats.org/officeDocument/2006/relationships/hyperlink" Target="http://www.cosmo.prv.p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8">
      <selection activeCell="I22" sqref="I22"/>
    </sheetView>
  </sheetViews>
  <sheetFormatPr defaultColWidth="9.140625" defaultRowHeight="12.75"/>
  <cols>
    <col min="1" max="1" width="8.28125" style="74" customWidth="1"/>
    <col min="2" max="2" width="16.7109375" style="77" customWidth="1"/>
    <col min="3" max="3" width="13.57421875" style="75" customWidth="1"/>
    <col min="4" max="4" width="43.7109375" style="77" customWidth="1"/>
    <col min="5" max="5" width="35.28125" style="76" customWidth="1"/>
    <col min="6" max="6" width="21.00390625" style="76" customWidth="1"/>
    <col min="7" max="7" width="9.57421875" style="74" customWidth="1"/>
    <col min="8" max="9" width="12.7109375" style="74" customWidth="1"/>
    <col min="11" max="16384" width="9.140625" style="75" customWidth="1"/>
  </cols>
  <sheetData>
    <row r="1" spans="1:9" ht="39" customHeight="1">
      <c r="A1" s="139" t="s">
        <v>143</v>
      </c>
      <c r="B1" s="139"/>
      <c r="C1" s="94" t="s">
        <v>136</v>
      </c>
      <c r="D1" s="94"/>
      <c r="E1" s="94"/>
      <c r="F1" s="80"/>
      <c r="G1" s="98" t="s">
        <v>137</v>
      </c>
      <c r="H1" s="98"/>
      <c r="I1" s="98"/>
    </row>
    <row r="2" spans="1:10" ht="62.25" customHeight="1">
      <c r="A2" s="1" t="s">
        <v>4</v>
      </c>
      <c r="B2" s="1" t="s">
        <v>0</v>
      </c>
      <c r="C2" s="1" t="s">
        <v>3</v>
      </c>
      <c r="D2" s="1" t="s">
        <v>1</v>
      </c>
      <c r="E2" s="1" t="s">
        <v>144</v>
      </c>
      <c r="F2" s="78" t="s">
        <v>140</v>
      </c>
      <c r="G2" s="1" t="s">
        <v>2</v>
      </c>
      <c r="H2" s="1" t="s">
        <v>139</v>
      </c>
      <c r="I2" s="1" t="s">
        <v>138</v>
      </c>
      <c r="J2" s="75"/>
    </row>
    <row r="3" spans="1:10" ht="12">
      <c r="A3" s="1">
        <v>1</v>
      </c>
      <c r="B3" s="1">
        <v>2</v>
      </c>
      <c r="C3" s="1">
        <v>3</v>
      </c>
      <c r="D3" s="1">
        <v>4</v>
      </c>
      <c r="E3" s="1">
        <v>5</v>
      </c>
      <c r="F3" s="1">
        <v>6</v>
      </c>
      <c r="G3" s="1">
        <v>7</v>
      </c>
      <c r="H3" s="1">
        <v>8</v>
      </c>
      <c r="I3" s="1">
        <v>9</v>
      </c>
      <c r="J3" s="75"/>
    </row>
    <row r="4" spans="1:10" ht="365.25" customHeight="1">
      <c r="A4" s="81">
        <v>1</v>
      </c>
      <c r="B4" s="82" t="s">
        <v>93</v>
      </c>
      <c r="C4" s="82" t="s">
        <v>5</v>
      </c>
      <c r="D4" s="82" t="s">
        <v>94</v>
      </c>
      <c r="E4" s="83" t="s">
        <v>145</v>
      </c>
      <c r="F4" s="83"/>
      <c r="G4" s="84">
        <v>1</v>
      </c>
      <c r="H4" s="85"/>
      <c r="I4" s="85">
        <f>G4*H4</f>
        <v>0</v>
      </c>
      <c r="J4" s="75"/>
    </row>
    <row r="5" spans="1:10" ht="183.75" customHeight="1">
      <c r="A5" s="81">
        <v>2</v>
      </c>
      <c r="B5" s="82" t="s">
        <v>6</v>
      </c>
      <c r="C5" s="82" t="s">
        <v>91</v>
      </c>
      <c r="D5" s="82" t="s">
        <v>92</v>
      </c>
      <c r="E5" s="83" t="s">
        <v>86</v>
      </c>
      <c r="F5" s="83"/>
      <c r="G5" s="84">
        <v>1</v>
      </c>
      <c r="H5" s="85"/>
      <c r="I5" s="85">
        <f aca="true" t="shared" si="0" ref="I5:I21">G5*H5</f>
        <v>0</v>
      </c>
      <c r="J5" s="75"/>
    </row>
    <row r="6" spans="1:10" ht="227.25" customHeight="1">
      <c r="A6" s="81">
        <v>3</v>
      </c>
      <c r="B6" s="82" t="s">
        <v>7</v>
      </c>
      <c r="C6" s="82" t="s">
        <v>95</v>
      </c>
      <c r="D6" s="82" t="s">
        <v>142</v>
      </c>
      <c r="E6" s="91" t="s">
        <v>146</v>
      </c>
      <c r="F6" s="83"/>
      <c r="G6" s="84">
        <v>1</v>
      </c>
      <c r="H6" s="85"/>
      <c r="I6" s="85">
        <f t="shared" si="0"/>
        <v>0</v>
      </c>
      <c r="J6" s="75"/>
    </row>
    <row r="7" spans="1:10" ht="212.25" customHeight="1">
      <c r="A7" s="81">
        <v>4</v>
      </c>
      <c r="B7" s="82" t="s">
        <v>8</v>
      </c>
      <c r="C7" s="82" t="s">
        <v>111</v>
      </c>
      <c r="D7" s="82" t="s">
        <v>87</v>
      </c>
      <c r="E7" s="83" t="s">
        <v>85</v>
      </c>
      <c r="F7" s="83"/>
      <c r="G7" s="84">
        <v>1</v>
      </c>
      <c r="H7" s="85"/>
      <c r="I7" s="85">
        <f t="shared" si="0"/>
        <v>0</v>
      </c>
      <c r="J7" s="75"/>
    </row>
    <row r="8" spans="1:10" ht="289.5" customHeight="1">
      <c r="A8" s="81">
        <v>5</v>
      </c>
      <c r="B8" s="82" t="s">
        <v>97</v>
      </c>
      <c r="C8" s="82" t="s">
        <v>96</v>
      </c>
      <c r="D8" s="82" t="s">
        <v>9</v>
      </c>
      <c r="E8" s="91" t="s">
        <v>147</v>
      </c>
      <c r="F8" s="83"/>
      <c r="G8" s="84">
        <v>1</v>
      </c>
      <c r="H8" s="85"/>
      <c r="I8" s="85">
        <f t="shared" si="0"/>
        <v>0</v>
      </c>
      <c r="J8" s="75"/>
    </row>
    <row r="9" spans="1:10" ht="120" customHeight="1">
      <c r="A9" s="81">
        <v>6</v>
      </c>
      <c r="B9" s="82" t="s">
        <v>98</v>
      </c>
      <c r="C9" s="82" t="s">
        <v>99</v>
      </c>
      <c r="D9" s="82" t="s">
        <v>84</v>
      </c>
      <c r="E9" s="83"/>
      <c r="F9" s="83"/>
      <c r="G9" s="84">
        <v>1</v>
      </c>
      <c r="H9" s="85"/>
      <c r="I9" s="85">
        <f t="shared" si="0"/>
        <v>0</v>
      </c>
      <c r="J9" s="75"/>
    </row>
    <row r="10" spans="1:10" ht="404.25" customHeight="1">
      <c r="A10" s="81">
        <v>7</v>
      </c>
      <c r="B10" s="82" t="s">
        <v>104</v>
      </c>
      <c r="C10" s="82" t="s">
        <v>100</v>
      </c>
      <c r="D10" s="82" t="s">
        <v>101</v>
      </c>
      <c r="E10" s="83" t="s">
        <v>105</v>
      </c>
      <c r="F10" s="83"/>
      <c r="G10" s="84">
        <v>1</v>
      </c>
      <c r="H10" s="85"/>
      <c r="I10" s="85">
        <f t="shared" si="0"/>
        <v>0</v>
      </c>
      <c r="J10" s="75"/>
    </row>
    <row r="11" spans="1:10" ht="409.5" customHeight="1">
      <c r="A11" s="81">
        <v>8</v>
      </c>
      <c r="B11" s="82" t="s">
        <v>103</v>
      </c>
      <c r="C11" s="82" t="s">
        <v>100</v>
      </c>
      <c r="D11" s="82" t="s">
        <v>101</v>
      </c>
      <c r="E11" s="83" t="s">
        <v>105</v>
      </c>
      <c r="F11" s="83"/>
      <c r="G11" s="84">
        <v>1</v>
      </c>
      <c r="H11" s="85"/>
      <c r="I11" s="85">
        <f t="shared" si="0"/>
        <v>0</v>
      </c>
      <c r="J11" s="75"/>
    </row>
    <row r="12" spans="1:10" ht="409.5" customHeight="1">
      <c r="A12" s="81">
        <v>9</v>
      </c>
      <c r="B12" s="82" t="s">
        <v>102</v>
      </c>
      <c r="C12" s="82" t="s">
        <v>100</v>
      </c>
      <c r="D12" s="82" t="s">
        <v>101</v>
      </c>
      <c r="E12" s="83" t="s">
        <v>105</v>
      </c>
      <c r="F12" s="83"/>
      <c r="G12" s="84">
        <v>1</v>
      </c>
      <c r="H12" s="85"/>
      <c r="I12" s="85">
        <f t="shared" si="0"/>
        <v>0</v>
      </c>
      <c r="J12" s="75"/>
    </row>
    <row r="13" spans="1:10" ht="124.5" customHeight="1">
      <c r="A13" s="81">
        <v>10</v>
      </c>
      <c r="B13" s="82" t="s">
        <v>106</v>
      </c>
      <c r="C13" s="82" t="s">
        <v>107</v>
      </c>
      <c r="D13" s="82" t="s">
        <v>108</v>
      </c>
      <c r="E13" s="83" t="s">
        <v>90</v>
      </c>
      <c r="F13" s="83"/>
      <c r="G13" s="84">
        <v>1</v>
      </c>
      <c r="H13" s="85"/>
      <c r="I13" s="85">
        <f t="shared" si="0"/>
        <v>0</v>
      </c>
      <c r="J13" s="75"/>
    </row>
    <row r="14" spans="1:10" ht="129.75" customHeight="1">
      <c r="A14" s="81">
        <v>11</v>
      </c>
      <c r="B14" s="82" t="s">
        <v>135</v>
      </c>
      <c r="C14" s="82" t="s">
        <v>133</v>
      </c>
      <c r="D14" s="82" t="s">
        <v>134</v>
      </c>
      <c r="E14" s="83" t="s">
        <v>148</v>
      </c>
      <c r="F14" s="83"/>
      <c r="G14" s="84">
        <v>1</v>
      </c>
      <c r="H14" s="85"/>
      <c r="I14" s="85">
        <f t="shared" si="0"/>
        <v>0</v>
      </c>
      <c r="J14" s="75"/>
    </row>
    <row r="15" spans="1:10" ht="201.75" customHeight="1">
      <c r="A15" s="81">
        <v>12</v>
      </c>
      <c r="B15" s="82" t="s">
        <v>110</v>
      </c>
      <c r="C15" s="82" t="s">
        <v>109</v>
      </c>
      <c r="D15" s="82" t="s">
        <v>88</v>
      </c>
      <c r="E15" s="83" t="s">
        <v>89</v>
      </c>
      <c r="F15" s="83"/>
      <c r="G15" s="84">
        <v>1</v>
      </c>
      <c r="H15" s="85"/>
      <c r="I15" s="85">
        <f t="shared" si="0"/>
        <v>0</v>
      </c>
      <c r="J15" s="75"/>
    </row>
    <row r="16" spans="1:10" ht="78" customHeight="1">
      <c r="A16" s="81">
        <v>13</v>
      </c>
      <c r="B16" s="82" t="s">
        <v>112</v>
      </c>
      <c r="C16" s="86" t="s">
        <v>126</v>
      </c>
      <c r="D16" s="87" t="s">
        <v>113</v>
      </c>
      <c r="E16" s="88"/>
      <c r="F16" s="88"/>
      <c r="G16" s="89">
        <v>1</v>
      </c>
      <c r="H16" s="85"/>
      <c r="I16" s="85">
        <f t="shared" si="0"/>
        <v>0</v>
      </c>
      <c r="J16" s="75"/>
    </row>
    <row r="17" spans="1:10" ht="288.75" customHeight="1">
      <c r="A17" s="81">
        <v>14</v>
      </c>
      <c r="B17" s="82" t="s">
        <v>116</v>
      </c>
      <c r="C17" s="86" t="s">
        <v>127</v>
      </c>
      <c r="D17" s="87" t="s">
        <v>114</v>
      </c>
      <c r="E17" s="92" t="s">
        <v>115</v>
      </c>
      <c r="F17" s="88"/>
      <c r="G17" s="89">
        <v>1</v>
      </c>
      <c r="H17" s="85"/>
      <c r="I17" s="85">
        <f t="shared" si="0"/>
        <v>0</v>
      </c>
      <c r="J17" s="75"/>
    </row>
    <row r="18" spans="1:10" ht="112.5">
      <c r="A18" s="81">
        <v>15</v>
      </c>
      <c r="B18" s="82" t="s">
        <v>117</v>
      </c>
      <c r="C18" s="86" t="s">
        <v>120</v>
      </c>
      <c r="D18" s="87" t="s">
        <v>121</v>
      </c>
      <c r="E18" s="93" t="s">
        <v>124</v>
      </c>
      <c r="F18" s="88"/>
      <c r="G18" s="89">
        <v>1</v>
      </c>
      <c r="H18" s="85"/>
      <c r="I18" s="85">
        <f t="shared" si="0"/>
        <v>0</v>
      </c>
      <c r="J18" s="75"/>
    </row>
    <row r="19" spans="1:10" ht="112.5">
      <c r="A19" s="81">
        <v>16</v>
      </c>
      <c r="B19" s="82" t="s">
        <v>118</v>
      </c>
      <c r="C19" s="86" t="s">
        <v>128</v>
      </c>
      <c r="D19" s="87" t="s">
        <v>122</v>
      </c>
      <c r="E19" s="88" t="s">
        <v>125</v>
      </c>
      <c r="F19" s="88"/>
      <c r="G19" s="89">
        <v>1</v>
      </c>
      <c r="H19" s="85"/>
      <c r="I19" s="85">
        <f t="shared" si="0"/>
        <v>0</v>
      </c>
      <c r="J19" s="75"/>
    </row>
    <row r="20" spans="1:10" ht="120" customHeight="1">
      <c r="A20" s="81">
        <v>17</v>
      </c>
      <c r="B20" s="82" t="s">
        <v>119</v>
      </c>
      <c r="C20" s="86" t="s">
        <v>129</v>
      </c>
      <c r="D20" s="90"/>
      <c r="E20" s="87" t="s">
        <v>123</v>
      </c>
      <c r="F20" s="87"/>
      <c r="G20" s="89">
        <v>1</v>
      </c>
      <c r="H20" s="85"/>
      <c r="I20" s="85">
        <f t="shared" si="0"/>
        <v>0</v>
      </c>
      <c r="J20" s="75"/>
    </row>
    <row r="21" spans="1:10" ht="91.5" customHeight="1">
      <c r="A21" s="81">
        <v>18</v>
      </c>
      <c r="B21" s="82" t="s">
        <v>130</v>
      </c>
      <c r="C21" s="82" t="s">
        <v>131</v>
      </c>
      <c r="D21" s="87" t="s">
        <v>132</v>
      </c>
      <c r="E21" s="88"/>
      <c r="F21" s="88"/>
      <c r="G21" s="89">
        <v>1</v>
      </c>
      <c r="H21" s="85"/>
      <c r="I21" s="85">
        <f t="shared" si="0"/>
        <v>0</v>
      </c>
      <c r="J21" s="75"/>
    </row>
    <row r="22" spans="1:10" ht="25.5" customHeight="1">
      <c r="A22" s="95" t="s">
        <v>141</v>
      </c>
      <c r="B22" s="96"/>
      <c r="C22" s="96"/>
      <c r="D22" s="96"/>
      <c r="E22" s="96"/>
      <c r="F22" s="96"/>
      <c r="G22" s="96"/>
      <c r="H22" s="97"/>
      <c r="I22" s="79">
        <f>SUM(I4:I21)</f>
        <v>0</v>
      </c>
      <c r="J22" s="75"/>
    </row>
    <row r="23" ht="12">
      <c r="J23" s="75"/>
    </row>
    <row r="24" ht="12">
      <c r="J24" s="75"/>
    </row>
    <row r="25" ht="12">
      <c r="J25" s="75"/>
    </row>
    <row r="26" ht="12">
      <c r="J26" s="75"/>
    </row>
    <row r="27" ht="12">
      <c r="J27" s="75"/>
    </row>
    <row r="28" ht="12">
      <c r="J28" s="75"/>
    </row>
    <row r="29" ht="12">
      <c r="J29" s="75"/>
    </row>
    <row r="30" ht="12">
      <c r="J30" s="75"/>
    </row>
    <row r="31" ht="12">
      <c r="J31" s="75"/>
    </row>
    <row r="32" ht="12">
      <c r="J32" s="75"/>
    </row>
  </sheetData>
  <sheetProtection/>
  <mergeCells count="4">
    <mergeCell ref="A1:B1"/>
    <mergeCell ref="C1:E1"/>
    <mergeCell ref="A22:H22"/>
    <mergeCell ref="G1:I1"/>
  </mergeCells>
  <printOptions/>
  <pageMargins left="0.2362204724409449" right="0.2362204724409449" top="0.3937007874015748" bottom="0.3937007874015748" header="0" footer="0"/>
  <pageSetup fitToHeight="0"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Q85"/>
  <sheetViews>
    <sheetView zoomScale="130" zoomScaleNormal="130" zoomScalePageLayoutView="0" workbookViewId="0" topLeftCell="A1">
      <selection activeCell="F59" sqref="F59"/>
    </sheetView>
  </sheetViews>
  <sheetFormatPr defaultColWidth="9.140625" defaultRowHeight="12.75"/>
  <sheetData>
    <row r="1" spans="2:15" ht="12.75">
      <c r="B1" s="2"/>
      <c r="C1" s="2"/>
      <c r="D1" s="2"/>
      <c r="E1" s="2"/>
      <c r="F1" s="2"/>
      <c r="G1" s="2"/>
      <c r="H1" s="2"/>
      <c r="I1" s="2"/>
      <c r="J1" s="2"/>
      <c r="K1" s="2"/>
      <c r="L1" s="2"/>
      <c r="M1" s="2"/>
      <c r="N1" s="2"/>
      <c r="O1" s="2"/>
    </row>
    <row r="2" spans="2:15" ht="12.75">
      <c r="B2" s="2"/>
      <c r="C2" s="2"/>
      <c r="D2" s="2"/>
      <c r="E2" s="2"/>
      <c r="F2" s="2"/>
      <c r="G2" s="2"/>
      <c r="H2" s="2"/>
      <c r="I2" s="2"/>
      <c r="J2" s="2"/>
      <c r="K2" s="2"/>
      <c r="L2" s="2"/>
      <c r="M2" s="2"/>
      <c r="N2" s="2"/>
      <c r="O2" s="2"/>
    </row>
    <row r="3" spans="2:16" ht="20.25">
      <c r="B3" s="136" t="s">
        <v>10</v>
      </c>
      <c r="C3" s="136"/>
      <c r="D3" s="136"/>
      <c r="E3" s="136"/>
      <c r="F3" s="136"/>
      <c r="G3" s="136"/>
      <c r="H3" s="136"/>
      <c r="I3" s="136"/>
      <c r="J3" s="136"/>
      <c r="K3" s="136"/>
      <c r="L3" s="136"/>
      <c r="M3" s="136"/>
      <c r="N3" s="136"/>
      <c r="O3" s="136"/>
      <c r="P3" s="136"/>
    </row>
    <row r="4" spans="2:16" ht="12.75">
      <c r="B4" s="104" t="s">
        <v>11</v>
      </c>
      <c r="C4" s="104"/>
      <c r="D4" s="104"/>
      <c r="E4" s="104"/>
      <c r="F4" s="104"/>
      <c r="G4" s="104"/>
      <c r="H4" s="104"/>
      <c r="I4" s="104"/>
      <c r="J4" s="104"/>
      <c r="K4" s="104"/>
      <c r="L4" s="104"/>
      <c r="M4" s="104"/>
      <c r="N4" s="104"/>
      <c r="O4" s="104"/>
      <c r="P4" s="104"/>
    </row>
    <row r="5" spans="2:16" ht="12.75">
      <c r="B5" s="137" t="s">
        <v>12</v>
      </c>
      <c r="C5" s="137"/>
      <c r="D5" s="137"/>
      <c r="E5" s="137"/>
      <c r="F5" s="137"/>
      <c r="G5" s="137"/>
      <c r="H5" s="137"/>
      <c r="I5" s="137"/>
      <c r="J5" s="137"/>
      <c r="K5" s="137"/>
      <c r="L5" s="137"/>
      <c r="M5" s="137"/>
      <c r="N5" s="137"/>
      <c r="O5" s="137"/>
      <c r="P5" s="137"/>
    </row>
    <row r="6" spans="2:16" ht="20.25">
      <c r="B6" s="3"/>
      <c r="C6" s="3"/>
      <c r="D6" s="3"/>
      <c r="E6" s="3"/>
      <c r="F6" s="3"/>
      <c r="G6" s="3"/>
      <c r="H6" s="3"/>
      <c r="I6" s="3"/>
      <c r="J6" s="3"/>
      <c r="K6" s="3"/>
      <c r="L6" s="3"/>
      <c r="M6" s="3"/>
      <c r="N6" s="3"/>
      <c r="O6" s="3"/>
      <c r="P6" s="3"/>
    </row>
    <row r="7" spans="2:15" ht="12.75">
      <c r="B7" s="2"/>
      <c r="C7" s="2"/>
      <c r="D7" s="2"/>
      <c r="E7" s="2"/>
      <c r="F7" s="2"/>
      <c r="G7" s="2"/>
      <c r="H7" s="2"/>
      <c r="I7" s="2"/>
      <c r="J7" s="2"/>
      <c r="K7" s="2"/>
      <c r="L7" s="2"/>
      <c r="M7" s="2"/>
      <c r="N7" s="2"/>
      <c r="O7" s="2"/>
    </row>
    <row r="8" spans="2:15" ht="12.75">
      <c r="B8" s="138" t="s">
        <v>13</v>
      </c>
      <c r="C8" s="138"/>
      <c r="D8" s="138"/>
      <c r="E8" s="138"/>
      <c r="F8" s="4">
        <v>70</v>
      </c>
      <c r="G8" s="2"/>
      <c r="H8" s="2"/>
      <c r="I8" s="2"/>
      <c r="J8" s="2"/>
      <c r="K8" s="2"/>
      <c r="L8" s="2"/>
      <c r="M8" s="2"/>
      <c r="N8" s="2"/>
      <c r="O8" s="2"/>
    </row>
    <row r="9" spans="2:15" ht="12.75">
      <c r="B9" s="138" t="s">
        <v>14</v>
      </c>
      <c r="C9" s="138"/>
      <c r="D9" s="138"/>
      <c r="E9" s="138"/>
      <c r="F9" s="4">
        <v>420</v>
      </c>
      <c r="G9" s="2"/>
      <c r="H9" s="2"/>
      <c r="I9" s="2"/>
      <c r="J9" s="2"/>
      <c r="K9" s="2"/>
      <c r="L9" s="2"/>
      <c r="M9" s="2"/>
      <c r="N9" s="2"/>
      <c r="O9" s="2"/>
    </row>
    <row r="10" spans="2:15" ht="12.75">
      <c r="B10" s="135" t="s">
        <v>15</v>
      </c>
      <c r="C10" s="135"/>
      <c r="D10" s="135"/>
      <c r="E10" s="135"/>
      <c r="F10" s="5">
        <f>f/d</f>
        <v>6</v>
      </c>
      <c r="G10" s="2"/>
      <c r="H10" s="2"/>
      <c r="I10" s="2"/>
      <c r="J10" s="2"/>
      <c r="K10" s="2"/>
      <c r="L10" s="2"/>
      <c r="M10" s="2"/>
      <c r="N10" s="2"/>
      <c r="O10" s="2"/>
    </row>
    <row r="11" spans="2:15" ht="12.75">
      <c r="B11" s="125" t="s">
        <v>16</v>
      </c>
      <c r="C11" s="125"/>
      <c r="D11" s="125"/>
      <c r="E11" s="125"/>
      <c r="F11" s="6">
        <f>120/d</f>
        <v>1.7142857142857142</v>
      </c>
      <c r="G11" s="2"/>
      <c r="H11" s="2"/>
      <c r="I11" s="2"/>
      <c r="J11" s="2"/>
      <c r="K11" s="2"/>
      <c r="L11" s="2"/>
      <c r="M11" s="2"/>
      <c r="N11" s="2"/>
      <c r="O11" s="2"/>
    </row>
    <row r="12" spans="2:15" ht="12.75">
      <c r="B12" s="134" t="s">
        <v>17</v>
      </c>
      <c r="C12" s="134"/>
      <c r="D12" s="134"/>
      <c r="E12" s="134"/>
      <c r="F12" s="7">
        <f>LN(d)*2.403</f>
        <v>10.20913406664461</v>
      </c>
      <c r="G12" s="115" t="s">
        <v>18</v>
      </c>
      <c r="H12" s="115"/>
      <c r="I12" s="2"/>
      <c r="J12" s="2"/>
      <c r="K12" s="2"/>
      <c r="L12" s="2"/>
      <c r="M12" s="2"/>
      <c r="N12" s="2"/>
      <c r="O12" s="2"/>
    </row>
    <row r="13" spans="2:15" ht="12.75">
      <c r="B13" s="134"/>
      <c r="C13" s="134"/>
      <c r="D13" s="134"/>
      <c r="E13" s="134"/>
      <c r="F13" s="7">
        <f>LN(d)*2.753</f>
        <v>11.696107401361887</v>
      </c>
      <c r="G13" s="115" t="s">
        <v>19</v>
      </c>
      <c r="H13" s="115"/>
      <c r="I13" s="2"/>
      <c r="J13" s="2"/>
      <c r="K13" s="2"/>
      <c r="L13" s="2"/>
      <c r="M13" s="2"/>
      <c r="N13" s="2"/>
      <c r="O13" s="2"/>
    </row>
    <row r="14" spans="2:15" ht="12.75">
      <c r="B14" s="125" t="s">
        <v>20</v>
      </c>
      <c r="C14" s="125"/>
      <c r="D14" s="125"/>
      <c r="E14" s="125"/>
      <c r="F14" s="8">
        <f>(3.141592*((d/2)*(d/2)))/(3.141592*((J16/2)*(J16/2)))</f>
        <v>196</v>
      </c>
      <c r="G14" s="115" t="s">
        <v>21</v>
      </c>
      <c r="H14" s="115"/>
      <c r="I14" s="9">
        <f>J16</f>
        <v>5</v>
      </c>
      <c r="J14" s="2"/>
      <c r="K14" s="2"/>
      <c r="L14" s="2"/>
      <c r="M14" s="2"/>
      <c r="N14" s="2"/>
      <c r="O14" s="2"/>
    </row>
    <row r="15" spans="2:15" ht="12.75">
      <c r="B15" s="125" t="s">
        <v>22</v>
      </c>
      <c r="C15" s="125"/>
      <c r="D15" s="125"/>
      <c r="E15" s="125"/>
      <c r="F15" s="10">
        <f>d*2</f>
        <v>140</v>
      </c>
      <c r="G15" s="11" t="s">
        <v>23</v>
      </c>
      <c r="H15" s="12">
        <f>f/F15</f>
        <v>3</v>
      </c>
      <c r="I15" s="2"/>
      <c r="J15" s="2"/>
      <c r="K15" s="2"/>
      <c r="L15" s="2"/>
      <c r="M15" s="2"/>
      <c r="N15" s="2"/>
      <c r="O15" s="2"/>
    </row>
    <row r="16" spans="2:15" ht="12.75">
      <c r="B16" s="125" t="s">
        <v>24</v>
      </c>
      <c r="C16" s="125"/>
      <c r="D16" s="125"/>
      <c r="E16" s="125"/>
      <c r="F16" s="10">
        <f>(d/J16)</f>
        <v>14</v>
      </c>
      <c r="G16" s="11" t="s">
        <v>23</v>
      </c>
      <c r="H16" s="12">
        <f>f/(d/J16)</f>
        <v>30</v>
      </c>
      <c r="I16" s="11" t="s">
        <v>25</v>
      </c>
      <c r="J16" s="13">
        <v>5</v>
      </c>
      <c r="K16" s="2"/>
      <c r="L16" s="2"/>
      <c r="M16" s="2"/>
      <c r="N16" s="2"/>
      <c r="O16" s="2"/>
    </row>
    <row r="17" spans="1:15" ht="12.75">
      <c r="A17" s="14"/>
      <c r="B17" s="15"/>
      <c r="C17" s="15"/>
      <c r="D17" s="15"/>
      <c r="E17" s="15"/>
      <c r="F17" s="2"/>
      <c r="G17" s="2"/>
      <c r="H17" s="2"/>
      <c r="I17" s="2"/>
      <c r="J17" s="2"/>
      <c r="K17" s="2"/>
      <c r="L17" s="2"/>
      <c r="M17" s="2"/>
      <c r="N17" s="2"/>
      <c r="O17" s="2"/>
    </row>
    <row r="18" spans="2:15" ht="12.75">
      <c r="B18" s="15"/>
      <c r="C18" s="15"/>
      <c r="D18" s="15"/>
      <c r="E18" s="15"/>
      <c r="F18" s="2"/>
      <c r="G18" s="2"/>
      <c r="H18" s="2"/>
      <c r="I18" s="2"/>
      <c r="J18" s="2"/>
      <c r="K18" s="2"/>
      <c r="L18" s="2"/>
      <c r="M18" s="2"/>
      <c r="N18" s="2"/>
      <c r="O18" s="2"/>
    </row>
    <row r="19" spans="1:15" ht="12.75">
      <c r="A19" s="16"/>
      <c r="B19" s="15"/>
      <c r="C19" s="117" t="s">
        <v>26</v>
      </c>
      <c r="D19" s="117"/>
      <c r="E19" s="117"/>
      <c r="F19" s="117"/>
      <c r="G19" s="117"/>
      <c r="H19" s="117"/>
      <c r="I19" s="117"/>
      <c r="J19" s="117"/>
      <c r="K19" s="117"/>
      <c r="L19" s="117"/>
      <c r="M19" s="117"/>
      <c r="N19" s="117"/>
      <c r="O19" s="117"/>
    </row>
    <row r="20" spans="2:15" ht="12.75">
      <c r="B20" s="2"/>
      <c r="C20" s="2"/>
      <c r="D20" s="2"/>
      <c r="E20" s="2"/>
      <c r="F20" s="2"/>
      <c r="G20" s="2"/>
      <c r="H20" s="2"/>
      <c r="I20" s="2"/>
      <c r="J20" s="2"/>
      <c r="K20" s="2"/>
      <c r="L20" s="2"/>
      <c r="M20" s="2"/>
      <c r="N20" s="2"/>
      <c r="O20" s="2"/>
    </row>
    <row r="21" spans="2:15" ht="12.75">
      <c r="B21" s="2"/>
      <c r="C21" s="126" t="s">
        <v>27</v>
      </c>
      <c r="D21" s="126"/>
      <c r="E21" s="126"/>
      <c r="F21" s="126"/>
      <c r="G21" s="126"/>
      <c r="H21" s="126"/>
      <c r="I21" s="126"/>
      <c r="J21" s="126"/>
      <c r="K21" s="126"/>
      <c r="L21" s="126"/>
      <c r="M21" s="126"/>
      <c r="N21" s="126"/>
      <c r="O21" s="126"/>
    </row>
    <row r="22" spans="2:15" ht="12.75">
      <c r="B22" s="17"/>
      <c r="C22" s="18">
        <v>30</v>
      </c>
      <c r="D22" s="18">
        <v>35</v>
      </c>
      <c r="E22" s="18">
        <v>40</v>
      </c>
      <c r="F22" s="18">
        <v>45</v>
      </c>
      <c r="G22" s="18">
        <v>50</v>
      </c>
      <c r="H22" s="18">
        <v>55</v>
      </c>
      <c r="I22" s="18">
        <v>60</v>
      </c>
      <c r="J22" s="18">
        <v>65</v>
      </c>
      <c r="K22" s="18">
        <v>70</v>
      </c>
      <c r="L22" s="18">
        <v>75</v>
      </c>
      <c r="M22" s="18">
        <v>80</v>
      </c>
      <c r="N22" s="18">
        <v>85</v>
      </c>
      <c r="O22" s="18">
        <v>90</v>
      </c>
    </row>
    <row r="23" spans="1:17" ht="12.75">
      <c r="A23" s="127" t="s">
        <v>28</v>
      </c>
      <c r="B23" s="19">
        <v>5</v>
      </c>
      <c r="C23" s="20">
        <f>(B23/f*C22)*60</f>
        <v>21.428571428571427</v>
      </c>
      <c r="D23" s="20">
        <f>(B23/f*D22)*60</f>
        <v>24.999999999999996</v>
      </c>
      <c r="E23" s="20">
        <f>(B23/f*E22)*60</f>
        <v>28.57142857142857</v>
      </c>
      <c r="F23" s="20">
        <f>(B23/f*F22)*60</f>
        <v>32.14285714285714</v>
      </c>
      <c r="G23" s="20">
        <f>(B23/f*G22)*60</f>
        <v>35.714285714285715</v>
      </c>
      <c r="H23" s="20">
        <f>(B23/f*H22)*60</f>
        <v>39.285714285714285</v>
      </c>
      <c r="I23" s="20">
        <f>(B23/f*I22)*60</f>
        <v>42.857142857142854</v>
      </c>
      <c r="J23" s="20">
        <f>(B23/f*J22)*60</f>
        <v>46.42857142857142</v>
      </c>
      <c r="K23" s="20">
        <f>(B23/f*K22)*60</f>
        <v>49.99999999999999</v>
      </c>
      <c r="L23" s="20">
        <f>(B23/f*L22)*60</f>
        <v>53.57142857142857</v>
      </c>
      <c r="M23" s="20">
        <f>(B23/f*M22)*60</f>
        <v>57.14285714285714</v>
      </c>
      <c r="N23" s="20">
        <f>(B23/f*N22)*60</f>
        <v>60.71428571428571</v>
      </c>
      <c r="O23" s="21">
        <f>(B23/f*O22)*60</f>
        <v>64.28571428571428</v>
      </c>
      <c r="P23" s="22">
        <f>f/B23</f>
        <v>84</v>
      </c>
      <c r="Q23" s="133" t="s">
        <v>29</v>
      </c>
    </row>
    <row r="24" spans="1:17" ht="12.75">
      <c r="A24" s="127"/>
      <c r="B24" s="19">
        <v>10</v>
      </c>
      <c r="C24" s="20">
        <f>f_10/f*C22*60</f>
        <v>42.857142857142854</v>
      </c>
      <c r="D24" s="20">
        <f aca="true" t="shared" si="0" ref="D24:O24">f_10/f*D22*60</f>
        <v>49.99999999999999</v>
      </c>
      <c r="E24" s="20">
        <f t="shared" si="0"/>
        <v>57.14285714285714</v>
      </c>
      <c r="F24" s="20">
        <f t="shared" si="0"/>
        <v>64.28571428571428</v>
      </c>
      <c r="G24" s="20">
        <f t="shared" si="0"/>
        <v>71.42857142857143</v>
      </c>
      <c r="H24" s="20">
        <f t="shared" si="0"/>
        <v>78.57142857142857</v>
      </c>
      <c r="I24" s="23">
        <f t="shared" si="0"/>
        <v>85.71428571428571</v>
      </c>
      <c r="J24" s="24">
        <f t="shared" si="0"/>
        <v>92.85714285714285</v>
      </c>
      <c r="K24" s="20">
        <f t="shared" si="0"/>
        <v>99.99999999999999</v>
      </c>
      <c r="L24" s="20">
        <f t="shared" si="0"/>
        <v>107.14285714285714</v>
      </c>
      <c r="M24" s="20">
        <f t="shared" si="0"/>
        <v>114.28571428571428</v>
      </c>
      <c r="N24" s="20">
        <f t="shared" si="0"/>
        <v>121.42857142857142</v>
      </c>
      <c r="O24" s="21">
        <f t="shared" si="0"/>
        <v>128.57142857142856</v>
      </c>
      <c r="P24" s="22">
        <f aca="true" t="shared" si="1" ref="P24:P33">f/B24</f>
        <v>42</v>
      </c>
      <c r="Q24" s="133"/>
    </row>
    <row r="25" spans="1:17" ht="12.75">
      <c r="A25" s="127"/>
      <c r="B25" s="19">
        <v>15</v>
      </c>
      <c r="C25" s="20">
        <f>f_15/f*C22*60</f>
        <v>64.28571428571428</v>
      </c>
      <c r="D25" s="20">
        <f aca="true" t="shared" si="2" ref="D25:O25">f_15/f*D22*60</f>
        <v>75</v>
      </c>
      <c r="E25" s="20">
        <f t="shared" si="2"/>
        <v>85.71428571428571</v>
      </c>
      <c r="F25" s="20">
        <f t="shared" si="2"/>
        <v>96.42857142857142</v>
      </c>
      <c r="G25" s="20">
        <f t="shared" si="2"/>
        <v>107.14285714285714</v>
      </c>
      <c r="H25" s="20">
        <f t="shared" si="2"/>
        <v>117.85714285714285</v>
      </c>
      <c r="I25" s="20">
        <f t="shared" si="2"/>
        <v>128.57142857142856</v>
      </c>
      <c r="J25" s="20">
        <f t="shared" si="2"/>
        <v>139.28571428571428</v>
      </c>
      <c r="K25" s="20">
        <f t="shared" si="2"/>
        <v>150</v>
      </c>
      <c r="L25" s="20">
        <f t="shared" si="2"/>
        <v>160.7142857142857</v>
      </c>
      <c r="M25" s="20">
        <f t="shared" si="2"/>
        <v>171.42857142857142</v>
      </c>
      <c r="N25" s="20">
        <f t="shared" si="2"/>
        <v>182.14285714285714</v>
      </c>
      <c r="O25" s="21">
        <f t="shared" si="2"/>
        <v>192.85714285714283</v>
      </c>
      <c r="P25" s="22">
        <f t="shared" si="1"/>
        <v>28</v>
      </c>
      <c r="Q25" s="133"/>
    </row>
    <row r="26" spans="1:17" ht="12.75">
      <c r="A26" s="127"/>
      <c r="B26" s="19">
        <v>20</v>
      </c>
      <c r="C26" s="20">
        <f>f_20/f*C22*60</f>
        <v>85.71428571428571</v>
      </c>
      <c r="D26" s="20">
        <f aca="true" t="shared" si="3" ref="D26:O26">f_20/f*D22*60</f>
        <v>99.99999999999999</v>
      </c>
      <c r="E26" s="20">
        <f t="shared" si="3"/>
        <v>114.28571428571428</v>
      </c>
      <c r="F26" s="20">
        <f t="shared" si="3"/>
        <v>128.57142857142856</v>
      </c>
      <c r="G26" s="20">
        <f t="shared" si="3"/>
        <v>142.85714285714286</v>
      </c>
      <c r="H26" s="24">
        <f t="shared" si="3"/>
        <v>157.14285714285714</v>
      </c>
      <c r="I26" s="20">
        <f t="shared" si="3"/>
        <v>171.42857142857142</v>
      </c>
      <c r="J26" s="20">
        <f t="shared" si="3"/>
        <v>185.7142857142857</v>
      </c>
      <c r="K26" s="20">
        <f t="shared" si="3"/>
        <v>199.99999999999997</v>
      </c>
      <c r="L26" s="20">
        <f t="shared" si="3"/>
        <v>214.28571428571428</v>
      </c>
      <c r="M26" s="20">
        <f t="shared" si="3"/>
        <v>228.57142857142856</v>
      </c>
      <c r="N26" s="20">
        <f t="shared" si="3"/>
        <v>242.85714285714283</v>
      </c>
      <c r="O26" s="21">
        <f t="shared" si="3"/>
        <v>257.1428571428571</v>
      </c>
      <c r="P26" s="22">
        <f t="shared" si="1"/>
        <v>21</v>
      </c>
      <c r="Q26" s="133"/>
    </row>
    <row r="27" spans="1:17" ht="12.75">
      <c r="A27" s="127"/>
      <c r="B27" s="19">
        <v>25</v>
      </c>
      <c r="C27" s="20">
        <f>f_25/f*C22*60</f>
        <v>107.14285714285714</v>
      </c>
      <c r="D27" s="20">
        <f aca="true" t="shared" si="4" ref="D27:O27">f_25/f*D22*60</f>
        <v>124.99999999999999</v>
      </c>
      <c r="E27" s="20">
        <f t="shared" si="4"/>
        <v>142.85714285714286</v>
      </c>
      <c r="F27" s="23">
        <f t="shared" si="4"/>
        <v>160.7142857142857</v>
      </c>
      <c r="G27" s="20">
        <f t="shared" si="4"/>
        <v>178.57142857142856</v>
      </c>
      <c r="H27" s="20">
        <f t="shared" si="4"/>
        <v>196.42857142857142</v>
      </c>
      <c r="I27" s="24">
        <f t="shared" si="4"/>
        <v>214.28571428571428</v>
      </c>
      <c r="J27" s="20">
        <f t="shared" si="4"/>
        <v>232.1428571428571</v>
      </c>
      <c r="K27" s="20">
        <f t="shared" si="4"/>
        <v>249.99999999999997</v>
      </c>
      <c r="L27" s="20">
        <f t="shared" si="4"/>
        <v>267.8571428571429</v>
      </c>
      <c r="M27" s="20">
        <f t="shared" si="4"/>
        <v>285.7142857142857</v>
      </c>
      <c r="N27" s="20">
        <f t="shared" si="4"/>
        <v>303.57142857142856</v>
      </c>
      <c r="O27" s="21">
        <f t="shared" si="4"/>
        <v>321.4285714285714</v>
      </c>
      <c r="P27" s="22">
        <f t="shared" si="1"/>
        <v>16.8</v>
      </c>
      <c r="Q27" s="133"/>
    </row>
    <row r="28" spans="1:17" ht="12.75">
      <c r="A28" s="127"/>
      <c r="B28" s="19">
        <v>30</v>
      </c>
      <c r="C28" s="20">
        <f>f_30/f*C22*60</f>
        <v>128.57142857142856</v>
      </c>
      <c r="D28" s="20">
        <f aca="true" t="shared" si="5" ref="D28:O28">f_30/f*D22*60</f>
        <v>150</v>
      </c>
      <c r="E28" s="20">
        <f t="shared" si="5"/>
        <v>171.42857142857142</v>
      </c>
      <c r="F28" s="20">
        <f t="shared" si="5"/>
        <v>192.85714285714283</v>
      </c>
      <c r="G28" s="23">
        <f>f_30/f*G22*60</f>
        <v>214.28571428571428</v>
      </c>
      <c r="H28" s="20">
        <f t="shared" si="5"/>
        <v>235.7142857142857</v>
      </c>
      <c r="I28" s="20">
        <f t="shared" si="5"/>
        <v>257.1428571428571</v>
      </c>
      <c r="J28" s="20">
        <f t="shared" si="5"/>
        <v>278.57142857142856</v>
      </c>
      <c r="K28" s="20">
        <f t="shared" si="5"/>
        <v>300</v>
      </c>
      <c r="L28" s="20">
        <f t="shared" si="5"/>
        <v>321.4285714285714</v>
      </c>
      <c r="M28" s="20">
        <f t="shared" si="5"/>
        <v>342.85714285714283</v>
      </c>
      <c r="N28" s="20">
        <f t="shared" si="5"/>
        <v>364.2857142857143</v>
      </c>
      <c r="O28" s="21">
        <f t="shared" si="5"/>
        <v>385.71428571428567</v>
      </c>
      <c r="P28" s="22">
        <f t="shared" si="1"/>
        <v>14</v>
      </c>
      <c r="Q28" s="133"/>
    </row>
    <row r="29" spans="1:17" ht="12.75">
      <c r="A29" s="127"/>
      <c r="B29" s="19">
        <v>35</v>
      </c>
      <c r="C29" s="20">
        <f>f_35/f*C22*60</f>
        <v>150</v>
      </c>
      <c r="D29" s="20">
        <f aca="true" t="shared" si="6" ref="D29:O29">f_35/f*D22*60</f>
        <v>175</v>
      </c>
      <c r="E29" s="20">
        <f t="shared" si="6"/>
        <v>199.99999999999997</v>
      </c>
      <c r="F29" s="20">
        <f t="shared" si="6"/>
        <v>225</v>
      </c>
      <c r="G29" s="20">
        <f t="shared" si="6"/>
        <v>249.99999999999997</v>
      </c>
      <c r="H29" s="20">
        <f t="shared" si="6"/>
        <v>275</v>
      </c>
      <c r="I29" s="20">
        <f t="shared" si="6"/>
        <v>300</v>
      </c>
      <c r="J29" s="20">
        <f t="shared" si="6"/>
        <v>324.99999999999994</v>
      </c>
      <c r="K29" s="20">
        <f t="shared" si="6"/>
        <v>350</v>
      </c>
      <c r="L29" s="20">
        <f t="shared" si="6"/>
        <v>375</v>
      </c>
      <c r="M29" s="20">
        <f t="shared" si="6"/>
        <v>399.99999999999994</v>
      </c>
      <c r="N29" s="20">
        <f t="shared" si="6"/>
        <v>425</v>
      </c>
      <c r="O29" s="21">
        <f t="shared" si="6"/>
        <v>450</v>
      </c>
      <c r="P29" s="22">
        <f t="shared" si="1"/>
        <v>12</v>
      </c>
      <c r="Q29" s="133"/>
    </row>
    <row r="30" spans="1:17" ht="12.75">
      <c r="A30" s="127"/>
      <c r="B30" s="19">
        <v>40</v>
      </c>
      <c r="C30" s="20">
        <f>f_40/f*C22*60</f>
        <v>171.42857142857142</v>
      </c>
      <c r="D30" s="20">
        <f aca="true" t="shared" si="7" ref="D30:O30">f_40/f*D22*60</f>
        <v>199.99999999999997</v>
      </c>
      <c r="E30" s="20">
        <f t="shared" si="7"/>
        <v>228.57142857142856</v>
      </c>
      <c r="F30" s="20">
        <f t="shared" si="7"/>
        <v>257.1428571428571</v>
      </c>
      <c r="G30" s="20">
        <f t="shared" si="7"/>
        <v>285.7142857142857</v>
      </c>
      <c r="H30" s="20">
        <f t="shared" si="7"/>
        <v>314.2857142857143</v>
      </c>
      <c r="I30" s="20">
        <f t="shared" si="7"/>
        <v>342.85714285714283</v>
      </c>
      <c r="J30" s="20">
        <f t="shared" si="7"/>
        <v>371.4285714285714</v>
      </c>
      <c r="K30" s="20">
        <f t="shared" si="7"/>
        <v>399.99999999999994</v>
      </c>
      <c r="L30" s="20">
        <f t="shared" si="7"/>
        <v>428.57142857142856</v>
      </c>
      <c r="M30" s="20">
        <f t="shared" si="7"/>
        <v>457.1428571428571</v>
      </c>
      <c r="N30" s="20">
        <f t="shared" si="7"/>
        <v>485.71428571428567</v>
      </c>
      <c r="O30" s="21">
        <f t="shared" si="7"/>
        <v>514.2857142857142</v>
      </c>
      <c r="P30" s="22">
        <f t="shared" si="1"/>
        <v>10.5</v>
      </c>
      <c r="Q30" s="133"/>
    </row>
    <row r="31" spans="1:17" ht="12.75">
      <c r="A31" s="127"/>
      <c r="B31" s="19">
        <v>45</v>
      </c>
      <c r="C31" s="20">
        <f>f_45/f*C22*60</f>
        <v>192.85714285714283</v>
      </c>
      <c r="D31" s="20">
        <f aca="true" t="shared" si="8" ref="D31:O31">f_45/f*D22*60</f>
        <v>225</v>
      </c>
      <c r="E31" s="20">
        <f t="shared" si="8"/>
        <v>257.1428571428571</v>
      </c>
      <c r="F31" s="20">
        <f t="shared" si="8"/>
        <v>289.2857142857143</v>
      </c>
      <c r="G31" s="20">
        <f t="shared" si="8"/>
        <v>321.4285714285714</v>
      </c>
      <c r="H31" s="20">
        <f t="shared" si="8"/>
        <v>353.57142857142856</v>
      </c>
      <c r="I31" s="20">
        <f t="shared" si="8"/>
        <v>385.71428571428567</v>
      </c>
      <c r="J31" s="20">
        <f t="shared" si="8"/>
        <v>417.85714285714283</v>
      </c>
      <c r="K31" s="20">
        <f t="shared" si="8"/>
        <v>450</v>
      </c>
      <c r="L31" s="20">
        <f t="shared" si="8"/>
        <v>482.1428571428571</v>
      </c>
      <c r="M31" s="20">
        <f t="shared" si="8"/>
        <v>514.2857142857142</v>
      </c>
      <c r="N31" s="20">
        <f t="shared" si="8"/>
        <v>546.4285714285713</v>
      </c>
      <c r="O31" s="21">
        <f t="shared" si="8"/>
        <v>578.5714285714286</v>
      </c>
      <c r="P31" s="22">
        <f t="shared" si="1"/>
        <v>9.333333333333334</v>
      </c>
      <c r="Q31" s="133"/>
    </row>
    <row r="32" spans="1:17" ht="12.75">
      <c r="A32" s="127"/>
      <c r="B32" s="19">
        <v>50</v>
      </c>
      <c r="C32" s="20">
        <f>f_50/f*C22*60</f>
        <v>214.28571428571428</v>
      </c>
      <c r="D32" s="20">
        <f aca="true" t="shared" si="9" ref="D32:O32">f_50/f*D22*60</f>
        <v>249.99999999999997</v>
      </c>
      <c r="E32" s="20">
        <f t="shared" si="9"/>
        <v>285.7142857142857</v>
      </c>
      <c r="F32" s="20">
        <f t="shared" si="9"/>
        <v>321.4285714285714</v>
      </c>
      <c r="G32" s="20">
        <f t="shared" si="9"/>
        <v>357.1428571428571</v>
      </c>
      <c r="H32" s="20">
        <f t="shared" si="9"/>
        <v>392.85714285714283</v>
      </c>
      <c r="I32" s="20">
        <f t="shared" si="9"/>
        <v>428.57142857142856</v>
      </c>
      <c r="J32" s="20">
        <f t="shared" si="9"/>
        <v>464.2857142857142</v>
      </c>
      <c r="K32" s="20">
        <f t="shared" si="9"/>
        <v>499.99999999999994</v>
      </c>
      <c r="L32" s="20">
        <f t="shared" si="9"/>
        <v>535.7142857142858</v>
      </c>
      <c r="M32" s="20">
        <f t="shared" si="9"/>
        <v>571.4285714285714</v>
      </c>
      <c r="N32" s="20">
        <f t="shared" si="9"/>
        <v>607.1428571428571</v>
      </c>
      <c r="O32" s="21">
        <f t="shared" si="9"/>
        <v>642.8571428571428</v>
      </c>
      <c r="P32" s="22">
        <f t="shared" si="1"/>
        <v>8.4</v>
      </c>
      <c r="Q32" s="133"/>
    </row>
    <row r="33" spans="1:17" ht="12.75">
      <c r="A33" s="127"/>
      <c r="B33" s="19">
        <v>55</v>
      </c>
      <c r="C33" s="20">
        <f>f_55/f*C22*60</f>
        <v>235.71428571428572</v>
      </c>
      <c r="D33" s="20">
        <f aca="true" t="shared" si="10" ref="D33:O33">f_55/f*D22*60</f>
        <v>275.00000000000006</v>
      </c>
      <c r="E33" s="20">
        <f t="shared" si="10"/>
        <v>314.2857142857143</v>
      </c>
      <c r="F33" s="20">
        <f t="shared" si="10"/>
        <v>353.5714285714286</v>
      </c>
      <c r="G33" s="20">
        <f t="shared" si="10"/>
        <v>392.8571428571429</v>
      </c>
      <c r="H33" s="20">
        <f t="shared" si="10"/>
        <v>432.14285714285717</v>
      </c>
      <c r="I33" s="20">
        <f t="shared" si="10"/>
        <v>471.42857142857144</v>
      </c>
      <c r="J33" s="20">
        <f t="shared" si="10"/>
        <v>510.7142857142858</v>
      </c>
      <c r="K33" s="20">
        <f t="shared" si="10"/>
        <v>550.0000000000001</v>
      </c>
      <c r="L33" s="20">
        <f t="shared" si="10"/>
        <v>589.2857142857142</v>
      </c>
      <c r="M33" s="20">
        <f t="shared" si="10"/>
        <v>628.5714285714286</v>
      </c>
      <c r="N33" s="20">
        <f t="shared" si="10"/>
        <v>667.8571428571429</v>
      </c>
      <c r="O33" s="21">
        <f t="shared" si="10"/>
        <v>707.1428571428572</v>
      </c>
      <c r="P33" s="22">
        <f t="shared" si="1"/>
        <v>7.636363636363637</v>
      </c>
      <c r="Q33" s="133"/>
    </row>
    <row r="34" spans="2:16" ht="12.75">
      <c r="B34" s="2"/>
      <c r="C34" s="2"/>
      <c r="D34" s="2"/>
      <c r="E34" s="2"/>
      <c r="F34" s="2"/>
      <c r="G34" s="2"/>
      <c r="H34" s="2"/>
      <c r="I34" s="2"/>
      <c r="J34" s="2"/>
      <c r="K34" s="2"/>
      <c r="L34" s="2"/>
      <c r="M34" s="2"/>
      <c r="N34" s="2"/>
      <c r="O34" s="2"/>
      <c r="P34" s="25"/>
    </row>
    <row r="35" spans="2:15" ht="12.75">
      <c r="B35" s="2"/>
      <c r="C35" s="2"/>
      <c r="D35" s="26"/>
      <c r="E35" s="11" t="s">
        <v>30</v>
      </c>
      <c r="F35" s="27"/>
      <c r="G35" s="27"/>
      <c r="H35" s="2"/>
      <c r="I35" s="2"/>
      <c r="J35" s="2"/>
      <c r="K35" s="2"/>
      <c r="L35" s="28"/>
      <c r="M35" s="2"/>
      <c r="N35" s="2"/>
      <c r="O35" s="2"/>
    </row>
    <row r="36" spans="2:15" ht="12.75">
      <c r="B36" s="2"/>
      <c r="C36" s="2"/>
      <c r="D36" s="29"/>
      <c r="E36" s="11" t="s">
        <v>31</v>
      </c>
      <c r="F36" s="27"/>
      <c r="G36" s="27"/>
      <c r="H36" s="2"/>
      <c r="I36" s="2"/>
      <c r="J36" s="2"/>
      <c r="K36" s="2"/>
      <c r="L36" s="28"/>
      <c r="M36" s="2"/>
      <c r="N36" s="2"/>
      <c r="O36" s="2"/>
    </row>
    <row r="37" spans="2:15" ht="12.75">
      <c r="B37" s="2"/>
      <c r="C37" s="2"/>
      <c r="D37" s="30"/>
      <c r="E37" s="11" t="s">
        <v>32</v>
      </c>
      <c r="F37" s="27"/>
      <c r="G37" s="27"/>
      <c r="H37" s="2"/>
      <c r="I37" s="2"/>
      <c r="J37" s="2"/>
      <c r="K37" s="2"/>
      <c r="L37" s="28"/>
      <c r="M37" s="2"/>
      <c r="N37" s="2"/>
      <c r="O37" s="2"/>
    </row>
    <row r="38" spans="2:15" ht="12.75">
      <c r="B38" s="2"/>
      <c r="C38" s="2"/>
      <c r="D38" s="31"/>
      <c r="E38" s="11" t="s">
        <v>33</v>
      </c>
      <c r="F38" s="27"/>
      <c r="G38" s="27"/>
      <c r="H38" s="2"/>
      <c r="I38" s="2"/>
      <c r="J38" s="2"/>
      <c r="K38" s="2"/>
      <c r="L38" s="28"/>
      <c r="M38" s="2"/>
      <c r="N38" s="2"/>
      <c r="O38" s="2"/>
    </row>
    <row r="39" spans="2:15" ht="12.75">
      <c r="B39" s="2"/>
      <c r="C39" s="2"/>
      <c r="D39" s="17"/>
      <c r="E39" s="2"/>
      <c r="F39" s="2"/>
      <c r="G39" s="2"/>
      <c r="H39" s="2"/>
      <c r="I39" s="2"/>
      <c r="J39" s="2"/>
      <c r="K39" s="2"/>
      <c r="L39" s="28"/>
      <c r="M39" s="2"/>
      <c r="N39" s="2"/>
      <c r="O39" s="2"/>
    </row>
    <row r="40" spans="2:15" ht="12.75">
      <c r="B40" s="2"/>
      <c r="C40" s="2"/>
      <c r="D40" s="2"/>
      <c r="E40" s="2"/>
      <c r="F40" s="2"/>
      <c r="G40" s="2"/>
      <c r="H40" s="2"/>
      <c r="I40" s="2"/>
      <c r="J40" s="2"/>
      <c r="K40" s="2"/>
      <c r="L40" s="2"/>
      <c r="M40" s="2"/>
      <c r="N40" s="2"/>
      <c r="O40" s="2"/>
    </row>
    <row r="41" spans="2:15" ht="12.75">
      <c r="B41" s="2"/>
      <c r="C41" s="117" t="s">
        <v>34</v>
      </c>
      <c r="D41" s="117"/>
      <c r="E41" s="117"/>
      <c r="F41" s="117"/>
      <c r="G41" s="117"/>
      <c r="H41" s="117"/>
      <c r="I41" s="117"/>
      <c r="J41" s="117"/>
      <c r="K41" s="117"/>
      <c r="L41" s="117"/>
      <c r="M41" s="117"/>
      <c r="N41" s="117"/>
      <c r="O41" s="117"/>
    </row>
    <row r="42" spans="2:15" ht="12.75">
      <c r="B42" s="2"/>
      <c r="C42" s="2"/>
      <c r="D42" s="2"/>
      <c r="E42" s="2"/>
      <c r="F42" s="2"/>
      <c r="G42" s="2"/>
      <c r="H42" s="2"/>
      <c r="I42" s="2"/>
      <c r="J42" s="2"/>
      <c r="K42" s="2"/>
      <c r="L42" s="2"/>
      <c r="M42" s="2"/>
      <c r="N42" s="2"/>
      <c r="O42" s="2"/>
    </row>
    <row r="43" spans="1:14" ht="12.75">
      <c r="A43" s="128" t="s">
        <v>35</v>
      </c>
      <c r="B43" s="128"/>
      <c r="C43" s="128"/>
      <c r="D43" s="32">
        <v>36</v>
      </c>
      <c r="E43" s="32">
        <v>24</v>
      </c>
      <c r="F43" s="129" t="s">
        <v>36</v>
      </c>
      <c r="G43" s="129"/>
      <c r="H43" s="129"/>
      <c r="I43" s="130"/>
      <c r="J43" s="33"/>
      <c r="K43" s="34">
        <f aca="true" t="shared" si="11" ref="K43:L47">ATAN(D43/2/f)*57.2957*2</f>
        <v>4.908056537815201</v>
      </c>
      <c r="L43" s="34">
        <f t="shared" si="11"/>
        <v>3.2731495408644817</v>
      </c>
      <c r="M43" s="129" t="s">
        <v>36</v>
      </c>
      <c r="N43" s="130"/>
    </row>
    <row r="44" spans="1:14" ht="12.75">
      <c r="A44" s="128" t="s">
        <v>37</v>
      </c>
      <c r="B44" s="128"/>
      <c r="C44" s="128"/>
      <c r="D44" s="32">
        <v>60</v>
      </c>
      <c r="E44" s="32">
        <v>60</v>
      </c>
      <c r="F44" s="131"/>
      <c r="G44" s="131"/>
      <c r="H44" s="131"/>
      <c r="I44" s="132"/>
      <c r="J44" s="33"/>
      <c r="K44" s="34">
        <f t="shared" si="11"/>
        <v>8.171222220197116</v>
      </c>
      <c r="L44" s="34">
        <f t="shared" si="11"/>
        <v>8.171222220197116</v>
      </c>
      <c r="M44" s="131"/>
      <c r="N44" s="132"/>
    </row>
    <row r="45" spans="1:14" ht="12.75">
      <c r="A45" s="35" t="s">
        <v>38</v>
      </c>
      <c r="B45" s="35"/>
      <c r="C45" s="35"/>
      <c r="D45" s="32">
        <v>90</v>
      </c>
      <c r="E45" s="32">
        <v>60</v>
      </c>
      <c r="F45" s="131"/>
      <c r="G45" s="131"/>
      <c r="H45" s="131"/>
      <c r="I45" s="132"/>
      <c r="J45" s="33"/>
      <c r="K45" s="34">
        <f t="shared" si="11"/>
        <v>12.230990158806161</v>
      </c>
      <c r="L45" s="34">
        <f t="shared" si="11"/>
        <v>8.171222220197116</v>
      </c>
      <c r="M45" s="131"/>
      <c r="N45" s="132"/>
    </row>
    <row r="46" spans="1:14" ht="12.75">
      <c r="A46" s="124" t="s">
        <v>39</v>
      </c>
      <c r="B46" s="124"/>
      <c r="C46" s="124"/>
      <c r="D46" s="36">
        <v>7.84</v>
      </c>
      <c r="E46" s="36">
        <v>6.4</v>
      </c>
      <c r="F46" s="37">
        <v>510</v>
      </c>
      <c r="G46" s="37">
        <v>492</v>
      </c>
      <c r="H46" s="32">
        <f>D46/F46*1000</f>
        <v>15.372549019607842</v>
      </c>
      <c r="I46" s="32">
        <f>E46/G46*1000</f>
        <v>13.008130081300813</v>
      </c>
      <c r="J46" s="33"/>
      <c r="K46" s="34">
        <f t="shared" si="11"/>
        <v>1.0694886792723006</v>
      </c>
      <c r="L46" s="34">
        <f t="shared" si="11"/>
        <v>0.8730604399083223</v>
      </c>
      <c r="M46" s="38">
        <f>K46/F46*3600</f>
        <v>7.549331853686828</v>
      </c>
      <c r="N46" s="38">
        <f>L46/G46*3600</f>
        <v>6.388247121280407</v>
      </c>
    </row>
    <row r="47" spans="1:14" ht="12.75">
      <c r="A47" s="116" t="s">
        <v>40</v>
      </c>
      <c r="B47" s="116"/>
      <c r="C47" s="116"/>
      <c r="D47" s="39">
        <v>4.46</v>
      </c>
      <c r="E47" s="39">
        <v>3.8</v>
      </c>
      <c r="F47" s="40">
        <v>640</v>
      </c>
      <c r="G47" s="40">
        <v>480</v>
      </c>
      <c r="H47" s="32">
        <v>5.6</v>
      </c>
      <c r="I47" s="32">
        <v>5.6</v>
      </c>
      <c r="J47" s="33"/>
      <c r="K47" s="34">
        <f t="shared" si="11"/>
        <v>0.6084200493777049</v>
      </c>
      <c r="L47" s="34">
        <f t="shared" si="11"/>
        <v>0.5183861304540468</v>
      </c>
      <c r="M47" s="38">
        <f>K47/F47*3600</f>
        <v>3.42236277774959</v>
      </c>
      <c r="N47" s="38">
        <f>L47/G47*3600</f>
        <v>3.8878959784053513</v>
      </c>
    </row>
    <row r="48" spans="1:15" ht="32.25">
      <c r="A48" s="41"/>
      <c r="B48" s="2"/>
      <c r="C48" s="2"/>
      <c r="D48" s="42" t="s">
        <v>41</v>
      </c>
      <c r="E48" s="42" t="s">
        <v>42</v>
      </c>
      <c r="F48" s="43" t="s">
        <v>43</v>
      </c>
      <c r="G48" s="43" t="s">
        <v>44</v>
      </c>
      <c r="H48" s="43" t="s">
        <v>45</v>
      </c>
      <c r="I48" s="43" t="s">
        <v>46</v>
      </c>
      <c r="J48" s="42"/>
      <c r="K48" s="42" t="s">
        <v>47</v>
      </c>
      <c r="L48" s="42" t="s">
        <v>48</v>
      </c>
      <c r="M48" s="42" t="s">
        <v>49</v>
      </c>
      <c r="N48" s="42" t="s">
        <v>50</v>
      </c>
      <c r="O48" s="2"/>
    </row>
    <row r="49" spans="2:15" ht="12.75">
      <c r="B49" s="2"/>
      <c r="C49" s="2"/>
      <c r="D49" s="2"/>
      <c r="E49" s="2"/>
      <c r="F49" s="2"/>
      <c r="G49" s="2"/>
      <c r="H49" s="2"/>
      <c r="I49" s="2"/>
      <c r="J49" s="2"/>
      <c r="K49" s="2"/>
      <c r="L49" s="2"/>
      <c r="M49" s="2"/>
      <c r="N49" s="2"/>
      <c r="O49" s="2"/>
    </row>
    <row r="50" spans="2:15" ht="12.75">
      <c r="B50" s="2"/>
      <c r="C50" s="2"/>
      <c r="D50" s="44"/>
      <c r="E50" s="11" t="s">
        <v>51</v>
      </c>
      <c r="F50" s="2"/>
      <c r="G50" s="2"/>
      <c r="H50" s="2"/>
      <c r="I50" s="2"/>
      <c r="J50" s="2"/>
      <c r="K50" s="2"/>
      <c r="L50" s="2"/>
      <c r="M50" s="2"/>
      <c r="N50" s="2"/>
      <c r="O50" s="2"/>
    </row>
    <row r="51" spans="2:15" ht="12.75">
      <c r="B51" s="2"/>
      <c r="C51" s="2"/>
      <c r="D51" s="17"/>
      <c r="E51" s="11"/>
      <c r="F51" s="2"/>
      <c r="G51" s="2"/>
      <c r="H51" s="2"/>
      <c r="I51" s="2"/>
      <c r="J51" s="2"/>
      <c r="K51" s="2"/>
      <c r="L51" s="2"/>
      <c r="M51" s="2"/>
      <c r="N51" s="2"/>
      <c r="O51" s="2"/>
    </row>
    <row r="52" spans="2:15" ht="12.75">
      <c r="B52" s="2"/>
      <c r="C52" s="2"/>
      <c r="D52" s="2"/>
      <c r="E52" s="2"/>
      <c r="F52" s="2"/>
      <c r="G52" s="2"/>
      <c r="H52" s="2"/>
      <c r="I52" s="2"/>
      <c r="J52" s="2"/>
      <c r="K52" s="2"/>
      <c r="L52" s="2"/>
      <c r="M52" s="2"/>
      <c r="N52" s="2"/>
      <c r="O52" s="2"/>
    </row>
    <row r="53" spans="2:15" ht="12.75">
      <c r="B53" s="2"/>
      <c r="C53" s="117" t="s">
        <v>52</v>
      </c>
      <c r="D53" s="117"/>
      <c r="E53" s="117"/>
      <c r="F53" s="117"/>
      <c r="G53" s="117"/>
      <c r="H53" s="117"/>
      <c r="I53" s="117"/>
      <c r="J53" s="117"/>
      <c r="K53" s="117"/>
      <c r="L53" s="117"/>
      <c r="M53" s="117"/>
      <c r="N53" s="117"/>
      <c r="O53" s="117"/>
    </row>
    <row r="54" spans="2:15" ht="12.75">
      <c r="B54" s="2"/>
      <c r="C54" s="45"/>
      <c r="D54" s="45"/>
      <c r="E54" s="45"/>
      <c r="F54" s="45"/>
      <c r="G54" s="45"/>
      <c r="H54" s="45"/>
      <c r="I54" s="45"/>
      <c r="J54" s="45"/>
      <c r="K54" s="45"/>
      <c r="L54" s="45"/>
      <c r="M54" s="45"/>
      <c r="N54" s="45"/>
      <c r="O54" s="45"/>
    </row>
    <row r="55" spans="2:15" ht="12.75">
      <c r="B55" s="2"/>
      <c r="C55" s="45"/>
      <c r="D55" s="45"/>
      <c r="E55" s="45"/>
      <c r="F55" s="45"/>
      <c r="G55" s="118" t="s">
        <v>53</v>
      </c>
      <c r="H55" s="119"/>
      <c r="I55" s="46">
        <f>((f/uzywanyokular)*obaparatu)/d</f>
        <v>11.538461538461538</v>
      </c>
      <c r="K55" s="45"/>
      <c r="L55" s="45"/>
      <c r="M55" s="45"/>
      <c r="N55" s="45"/>
      <c r="O55" s="45"/>
    </row>
    <row r="56" spans="2:15" ht="12.75">
      <c r="B56" s="2"/>
      <c r="C56" s="2"/>
      <c r="D56" s="2"/>
      <c r="E56" s="2"/>
      <c r="F56" s="17"/>
      <c r="G56" s="118" t="s">
        <v>54</v>
      </c>
      <c r="H56" s="119"/>
      <c r="I56" s="47">
        <f>(f/uzywanyokular)*obaparatu</f>
        <v>807.6923076923076</v>
      </c>
      <c r="K56" s="2"/>
      <c r="L56" s="2"/>
      <c r="M56" s="2"/>
      <c r="N56" s="2"/>
      <c r="O56" s="2"/>
    </row>
    <row r="57" spans="1:15" ht="12.75">
      <c r="A57" s="105" t="s">
        <v>55</v>
      </c>
      <c r="B57" s="105"/>
      <c r="C57" s="106"/>
      <c r="D57" s="48">
        <v>1800</v>
      </c>
      <c r="E57" s="49">
        <f>(f*D57)/206265</f>
        <v>3.665187986328267</v>
      </c>
      <c r="F57" s="50">
        <f>((f/d)*(f/d))/(czuloscfilmu*80)</f>
        <v>0.000375</v>
      </c>
      <c r="G57" s="51">
        <f>(((f/uzywanyokular)*obaparatu)*D57)/206265</f>
        <v>7.048438435246667</v>
      </c>
      <c r="H57" s="52">
        <f>G57*(180/36)</f>
        <v>35.24219217623334</v>
      </c>
      <c r="I57" s="53">
        <f>((((f/uzywanyokular)*obaparatu)/d)*(((f/uzywanyokular)*obaparatu)/d))/(czuloscfilmu*80)</f>
        <v>0.0013868343195266271</v>
      </c>
      <c r="J57" s="2"/>
      <c r="K57" s="2"/>
      <c r="L57" s="2"/>
      <c r="M57" s="2"/>
      <c r="N57" s="2"/>
      <c r="O57" s="2"/>
    </row>
    <row r="58" spans="1:15" ht="12.75">
      <c r="A58" s="105" t="s">
        <v>56</v>
      </c>
      <c r="B58" s="105"/>
      <c r="C58" s="106"/>
      <c r="D58" s="48">
        <v>11</v>
      </c>
      <c r="E58" s="49">
        <f aca="true" t="shared" si="12" ref="E58:E69">(f*D58)/206265</f>
        <v>0.02239837102756163</v>
      </c>
      <c r="F58" s="50">
        <f>((f/d)*(f/d))/(czuloscfilmu*60)</f>
        <v>0.0005</v>
      </c>
      <c r="G58" s="54">
        <f>(((f/uzywanyokular)*obaparatu)*D58)/206265</f>
        <v>0.04307379043761851</v>
      </c>
      <c r="H58" s="55">
        <f aca="true" t="shared" si="13" ref="H58:H71">G58*(180/36)</f>
        <v>0.21536895218809254</v>
      </c>
      <c r="I58" s="50">
        <f>((((f/uzywanyokular)*obaparatu)/d)*(((f/uzywanyokular)*obaparatu)/d))/(czuloscfilmu*60)</f>
        <v>0.0018491124260355029</v>
      </c>
      <c r="J58" s="2"/>
      <c r="K58" s="2"/>
      <c r="L58" s="2"/>
      <c r="M58" s="2"/>
      <c r="N58" s="2"/>
      <c r="O58" s="2"/>
    </row>
    <row r="59" spans="1:15" ht="12.75">
      <c r="A59" s="105" t="s">
        <v>57</v>
      </c>
      <c r="B59" s="105"/>
      <c r="C59" s="106"/>
      <c r="D59" s="48">
        <v>60.2</v>
      </c>
      <c r="E59" s="49">
        <f t="shared" si="12"/>
        <v>0.12258017598720093</v>
      </c>
      <c r="F59" s="50">
        <f>((f/d)*(f/d))/(czuloscfilmu*400)</f>
        <v>7.5E-05</v>
      </c>
      <c r="G59" s="54">
        <f>(((f/uzywanyokular)*obaparatu)*D59)/206265</f>
        <v>0.2357311076676941</v>
      </c>
      <c r="H59" s="55">
        <f t="shared" si="13"/>
        <v>1.1786555383384705</v>
      </c>
      <c r="I59" s="50">
        <f>((((f/uzywanyokular)*obaparatu)/d)*(((f/uzywanyokular)*obaparatu)/d))/(czuloscfilmu*400)</f>
        <v>0.00027736686390532545</v>
      </c>
      <c r="J59" s="2"/>
      <c r="K59" s="56" t="s">
        <v>58</v>
      </c>
      <c r="L59" s="2"/>
      <c r="M59" s="2"/>
      <c r="N59" s="2"/>
      <c r="O59" s="2"/>
    </row>
    <row r="60" spans="1:15" ht="12.75">
      <c r="A60" s="57" t="s">
        <v>59</v>
      </c>
      <c r="B60" s="57"/>
      <c r="C60" s="58"/>
      <c r="D60" s="120">
        <v>1800</v>
      </c>
      <c r="E60" s="121">
        <f t="shared" si="12"/>
        <v>3.665187986328267</v>
      </c>
      <c r="F60" s="50">
        <f>((f/d)*(f/d))/(czuloscfilmu*200)</f>
        <v>0.00015</v>
      </c>
      <c r="G60" s="122">
        <f>(((f/uzywanyokular)*obaparatu)*D60)/206265</f>
        <v>7.048438435246667</v>
      </c>
      <c r="H60" s="123">
        <f t="shared" si="13"/>
        <v>35.24219217623334</v>
      </c>
      <c r="I60" s="50">
        <f>((((f/uzywanyokular)*obaparatu)/d)*(((f/uzywanyokular)*obaparatu)/d))/(czuloscfilmu*200)</f>
        <v>0.0005547337278106509</v>
      </c>
      <c r="J60" s="2"/>
      <c r="K60" s="59"/>
      <c r="L60" s="115" t="s">
        <v>60</v>
      </c>
      <c r="M60" s="115"/>
      <c r="N60" s="115"/>
      <c r="O60" s="115"/>
    </row>
    <row r="61" spans="1:15" ht="12.75">
      <c r="A61" s="57" t="s">
        <v>61</v>
      </c>
      <c r="B61" s="57"/>
      <c r="C61" s="58"/>
      <c r="D61" s="120"/>
      <c r="E61" s="121"/>
      <c r="F61" s="50">
        <f>((f/d)*(f/d))/(czuloscfilmu*80)</f>
        <v>0.000375</v>
      </c>
      <c r="G61" s="122"/>
      <c r="H61" s="123"/>
      <c r="I61" s="50">
        <f>((((f/uzywanyokular)*obaparatu)/d)*(((f/uzywanyokular)*obaparatu)/d))/(czuloscfilmu*80)</f>
        <v>0.0013868343195266271</v>
      </c>
      <c r="J61" s="2"/>
      <c r="K61" s="60"/>
      <c r="L61" s="115" t="s">
        <v>62</v>
      </c>
      <c r="M61" s="115"/>
      <c r="N61" s="115"/>
      <c r="O61" s="115"/>
    </row>
    <row r="62" spans="1:16" ht="12.75">
      <c r="A62" s="57" t="s">
        <v>63</v>
      </c>
      <c r="B62" s="57"/>
      <c r="C62" s="58"/>
      <c r="D62" s="120"/>
      <c r="E62" s="121"/>
      <c r="F62" s="50">
        <f>((f/d)*(f/d))/(czuloscfilmu*40)</f>
        <v>0.00075</v>
      </c>
      <c r="G62" s="122"/>
      <c r="H62" s="123"/>
      <c r="I62" s="50">
        <f>((((f/uzywanyokular)*obaparatu)/d)*(((f/uzywanyokular)*obaparatu)/d))/(czuloscfilmu*40)</f>
        <v>0.0027736686390532543</v>
      </c>
      <c r="J62" s="2"/>
      <c r="K62" s="61"/>
      <c r="L62" s="115" t="s">
        <v>64</v>
      </c>
      <c r="M62" s="115"/>
      <c r="N62" s="115"/>
      <c r="O62" s="115"/>
      <c r="P62" s="115"/>
    </row>
    <row r="63" spans="1:15" ht="12.75">
      <c r="A63" s="57" t="s">
        <v>65</v>
      </c>
      <c r="B63" s="57"/>
      <c r="C63" s="58"/>
      <c r="D63" s="120"/>
      <c r="E63" s="121"/>
      <c r="F63" s="50">
        <f>((f/d)*(f/d))/(czuloscfilmu*20)</f>
        <v>0.0015</v>
      </c>
      <c r="G63" s="122"/>
      <c r="H63" s="123"/>
      <c r="I63" s="50">
        <f>((((f/uzywanyokular)*obaparatu)/d)*(((f/uzywanyokular)*obaparatu)/d))/(czuloscfilmu*20)</f>
        <v>0.005547337278106509</v>
      </c>
      <c r="J63" s="2"/>
      <c r="K63" s="2"/>
      <c r="L63" s="2"/>
      <c r="M63" s="2"/>
      <c r="N63" s="2"/>
      <c r="O63" s="2"/>
    </row>
    <row r="64" spans="1:15" ht="12.75">
      <c r="A64" s="105" t="s">
        <v>66</v>
      </c>
      <c r="B64" s="105"/>
      <c r="C64" s="106"/>
      <c r="D64" s="48">
        <v>17.9</v>
      </c>
      <c r="E64" s="49">
        <f t="shared" si="12"/>
        <v>0.03644825830848665</v>
      </c>
      <c r="F64" s="50">
        <f>((f/d)*(f/d))/(czuloscfilmu*60)</f>
        <v>0.0005</v>
      </c>
      <c r="G64" s="54">
        <f aca="true" t="shared" si="14" ref="G64:G69">(((f/uzywanyokular)*obaparatu)*D64)/206265</f>
        <v>0.0700928044393974</v>
      </c>
      <c r="H64" s="55">
        <f t="shared" si="13"/>
        <v>0.350464022196987</v>
      </c>
      <c r="I64" s="50">
        <f>((((f/uzywanyokular)*obaparatu)/d)*(((f/uzywanyokular)*obaparatu)/d))/(czuloscfilmu*60)</f>
        <v>0.0018491124260355029</v>
      </c>
      <c r="J64" s="2"/>
      <c r="K64" s="2"/>
      <c r="L64" s="2"/>
      <c r="M64" s="2"/>
      <c r="N64" s="2"/>
      <c r="O64" s="2"/>
    </row>
    <row r="65" spans="1:15" ht="12.75">
      <c r="A65" s="107" t="s">
        <v>67</v>
      </c>
      <c r="B65" s="107"/>
      <c r="C65" s="108"/>
      <c r="D65" s="62">
        <v>46</v>
      </c>
      <c r="E65" s="63">
        <f t="shared" si="12"/>
        <v>0.09366591520616682</v>
      </c>
      <c r="F65" s="64">
        <f>((f/d)*(f/d))/(czuloscfilmu*30)</f>
        <v>0.001</v>
      </c>
      <c r="G65" s="65">
        <f t="shared" si="14"/>
        <v>0.18012676001185926</v>
      </c>
      <c r="H65" s="66">
        <f t="shared" si="13"/>
        <v>0.9006338000592963</v>
      </c>
      <c r="I65" s="64">
        <f>((((f/uzywanyokular)*obaparatu)/d)*(((f/uzywanyokular)*obaparatu)/d))/(czuloscfilmu*30)</f>
        <v>0.0036982248520710057</v>
      </c>
      <c r="J65" s="2"/>
      <c r="K65" s="2"/>
      <c r="L65" s="2"/>
      <c r="M65" s="2"/>
      <c r="N65" s="2"/>
      <c r="O65" s="2"/>
    </row>
    <row r="66" spans="1:15" ht="12.75">
      <c r="A66" s="105" t="s">
        <v>68</v>
      </c>
      <c r="B66" s="105"/>
      <c r="C66" s="106"/>
      <c r="D66" s="48">
        <v>19</v>
      </c>
      <c r="E66" s="49">
        <f t="shared" si="12"/>
        <v>0.038688095411242816</v>
      </c>
      <c r="F66" s="109">
        <f>((f/d)*(f/d))/(czuloscfilmu*10)</f>
        <v>0.003</v>
      </c>
      <c r="G66" s="54">
        <f t="shared" si="14"/>
        <v>0.07440018348315926</v>
      </c>
      <c r="H66" s="55">
        <f t="shared" si="13"/>
        <v>0.3720009174157963</v>
      </c>
      <c r="I66" s="109">
        <f>((((f/uzywanyokular)*obaparatu)/d)*(((f/uzywanyokular)*obaparatu)/d))/(czuloscfilmu*10)</f>
        <v>0.011094674556213017</v>
      </c>
      <c r="J66" s="2"/>
      <c r="K66" s="2"/>
      <c r="L66" s="2"/>
      <c r="M66" s="2"/>
      <c r="N66" s="2"/>
      <c r="O66" s="2"/>
    </row>
    <row r="67" spans="1:15" ht="12.75">
      <c r="A67" s="57" t="s">
        <v>69</v>
      </c>
      <c r="B67" s="57"/>
      <c r="C67" s="58"/>
      <c r="D67" s="48">
        <v>42</v>
      </c>
      <c r="E67" s="49">
        <f t="shared" si="12"/>
        <v>0.08552105301432623</v>
      </c>
      <c r="F67" s="110"/>
      <c r="G67" s="54">
        <f t="shared" si="14"/>
        <v>0.1644635634890889</v>
      </c>
      <c r="H67" s="55">
        <f t="shared" si="13"/>
        <v>0.8223178174454444</v>
      </c>
      <c r="I67" s="110"/>
      <c r="J67" s="2"/>
      <c r="K67" s="2"/>
      <c r="L67" s="2"/>
      <c r="M67" s="2"/>
      <c r="N67" s="2"/>
      <c r="O67" s="2"/>
    </row>
    <row r="68" spans="1:15" ht="12.75">
      <c r="A68" s="105" t="s">
        <v>70</v>
      </c>
      <c r="B68" s="105"/>
      <c r="C68" s="106"/>
      <c r="D68" s="48">
        <v>4</v>
      </c>
      <c r="E68" s="49">
        <f t="shared" si="12"/>
        <v>0.008144862191840593</v>
      </c>
      <c r="F68" s="111" t="s">
        <v>71</v>
      </c>
      <c r="G68" s="54">
        <f t="shared" si="14"/>
        <v>0.01566319652277037</v>
      </c>
      <c r="H68" s="55">
        <f t="shared" si="13"/>
        <v>0.07831598261385185</v>
      </c>
      <c r="I68" s="114" t="s">
        <v>71</v>
      </c>
      <c r="J68" s="2"/>
      <c r="K68" s="2"/>
      <c r="L68" s="2"/>
      <c r="M68" s="67"/>
      <c r="N68" s="2"/>
      <c r="O68" s="2"/>
    </row>
    <row r="69" spans="1:15" ht="12.75">
      <c r="A69" s="105" t="s">
        <v>72</v>
      </c>
      <c r="B69" s="105"/>
      <c r="C69" s="106"/>
      <c r="D69" s="48">
        <v>2.1</v>
      </c>
      <c r="E69" s="49">
        <f t="shared" si="12"/>
        <v>0.004276052650716311</v>
      </c>
      <c r="F69" s="112"/>
      <c r="G69" s="54">
        <f t="shared" si="14"/>
        <v>0.008223178174454445</v>
      </c>
      <c r="H69" s="55">
        <f t="shared" si="13"/>
        <v>0.04111589087227223</v>
      </c>
      <c r="I69" s="114"/>
      <c r="J69" s="2"/>
      <c r="K69" s="2"/>
      <c r="L69" s="2"/>
      <c r="M69" s="2"/>
      <c r="N69" s="2"/>
      <c r="O69" s="2"/>
    </row>
    <row r="70" spans="1:15" ht="12.75">
      <c r="A70" s="105" t="s">
        <v>73</v>
      </c>
      <c r="B70" s="105"/>
      <c r="C70" s="106"/>
      <c r="D70" s="48">
        <v>0.1</v>
      </c>
      <c r="E70" s="49">
        <f>(f*D70)/206265</f>
        <v>0.00020362155479601484</v>
      </c>
      <c r="F70" s="113"/>
      <c r="G70" s="54">
        <f>(((f/uzywanyokular)*obaparatu)*D70)/206265</f>
        <v>0.00039157991306925933</v>
      </c>
      <c r="H70" s="55">
        <f t="shared" si="13"/>
        <v>0.0019578995653462966</v>
      </c>
      <c r="I70" s="114"/>
      <c r="J70" s="2"/>
      <c r="K70" s="2"/>
      <c r="L70" s="2"/>
      <c r="M70" s="2"/>
      <c r="N70" s="2"/>
      <c r="O70" s="2"/>
    </row>
    <row r="71" spans="1:15" ht="12.75">
      <c r="A71" s="105" t="s">
        <v>74</v>
      </c>
      <c r="B71" s="105"/>
      <c r="C71" s="106"/>
      <c r="D71" s="48">
        <v>36</v>
      </c>
      <c r="E71" s="49">
        <f>(f*D71)/206265</f>
        <v>0.07330375972656535</v>
      </c>
      <c r="F71" s="50">
        <f>((f/d)*(f/d))/(czuloscfilmu*400)</f>
        <v>7.5E-05</v>
      </c>
      <c r="G71" s="54">
        <f>(((f/uzywanyokular)*obaparatu)*D71)/206265</f>
        <v>0.14096876870493333</v>
      </c>
      <c r="H71" s="55">
        <f t="shared" si="13"/>
        <v>0.7048438435246667</v>
      </c>
      <c r="I71" s="50">
        <f>((((f/uzywanyokular)*obaparatu)/d)*(((f/uzywanyokular)*obaparatu)/d))/(czuloscfilmu*400)</f>
        <v>0.00027736686390532545</v>
      </c>
      <c r="J71" s="2"/>
      <c r="K71" s="2"/>
      <c r="L71" s="2"/>
      <c r="M71" s="99"/>
      <c r="N71" s="99"/>
      <c r="O71" s="2"/>
    </row>
    <row r="72" spans="2:15" ht="126.75">
      <c r="B72" s="2"/>
      <c r="C72" s="2"/>
      <c r="D72" s="68" t="s">
        <v>75</v>
      </c>
      <c r="E72" s="68" t="s">
        <v>76</v>
      </c>
      <c r="F72" s="69" t="s">
        <v>77</v>
      </c>
      <c r="G72" s="100" t="s">
        <v>78</v>
      </c>
      <c r="H72" s="70" t="s">
        <v>79</v>
      </c>
      <c r="I72" s="70" t="s">
        <v>80</v>
      </c>
      <c r="J72" s="2"/>
      <c r="K72" s="2"/>
      <c r="L72" s="2"/>
      <c r="M72" s="2"/>
      <c r="N72" s="2"/>
      <c r="O72" s="2"/>
    </row>
    <row r="73" spans="2:15" ht="12.75">
      <c r="B73" s="2"/>
      <c r="C73" s="2"/>
      <c r="D73" s="102" t="s">
        <v>81</v>
      </c>
      <c r="E73" s="102"/>
      <c r="F73" s="71">
        <v>1200</v>
      </c>
      <c r="G73" s="101"/>
      <c r="H73" s="2"/>
      <c r="I73" s="2"/>
      <c r="J73" s="2"/>
      <c r="K73" s="2"/>
      <c r="L73" s="2"/>
      <c r="M73" s="2"/>
      <c r="N73" s="2"/>
      <c r="O73" s="2"/>
    </row>
    <row r="74" spans="2:15" ht="12.75">
      <c r="B74" s="2"/>
      <c r="C74" s="2"/>
      <c r="D74" s="103"/>
      <c r="E74" s="103"/>
      <c r="F74" s="72" t="s">
        <v>82</v>
      </c>
      <c r="G74" s="73">
        <v>50</v>
      </c>
      <c r="H74" s="2"/>
      <c r="I74" s="2"/>
      <c r="J74" s="2"/>
      <c r="K74" s="2"/>
      <c r="L74" s="2"/>
      <c r="M74" s="2"/>
      <c r="N74" s="2"/>
      <c r="O74" s="2"/>
    </row>
    <row r="75" spans="2:15" ht="12.75">
      <c r="B75" s="2"/>
      <c r="C75" s="2"/>
      <c r="D75" s="2"/>
      <c r="E75" s="2"/>
      <c r="F75" s="72" t="s">
        <v>83</v>
      </c>
      <c r="G75" s="73">
        <v>26</v>
      </c>
      <c r="H75" s="2"/>
      <c r="I75" s="2"/>
      <c r="J75" s="2"/>
      <c r="K75" s="2"/>
      <c r="L75" s="2"/>
      <c r="M75" s="2"/>
      <c r="N75" s="2"/>
      <c r="O75" s="2"/>
    </row>
    <row r="76" spans="2:15" ht="12.75">
      <c r="B76" s="2"/>
      <c r="C76" s="2"/>
      <c r="D76" s="2"/>
      <c r="E76" s="2"/>
      <c r="F76" s="2"/>
      <c r="G76" s="2"/>
      <c r="H76" s="2"/>
      <c r="I76" s="2"/>
      <c r="J76" s="2"/>
      <c r="K76" s="2"/>
      <c r="L76" s="2"/>
      <c r="M76" s="2"/>
      <c r="N76" s="2"/>
      <c r="O76" s="2"/>
    </row>
    <row r="77" spans="2:15" ht="12.75">
      <c r="B77" s="2"/>
      <c r="C77" s="2"/>
      <c r="D77" s="104"/>
      <c r="E77" s="104"/>
      <c r="F77" s="2"/>
      <c r="G77" s="2"/>
      <c r="H77" s="2"/>
      <c r="I77" s="2"/>
      <c r="J77" s="2"/>
      <c r="K77" s="2"/>
      <c r="L77" s="2"/>
      <c r="M77" s="2"/>
      <c r="N77" s="2"/>
      <c r="O77" s="2"/>
    </row>
    <row r="78" spans="2:15" ht="12.75">
      <c r="B78" s="2"/>
      <c r="C78" s="2"/>
      <c r="D78" s="2"/>
      <c r="E78" s="2"/>
      <c r="F78" s="2"/>
      <c r="G78" s="2"/>
      <c r="H78" s="2"/>
      <c r="I78" s="2"/>
      <c r="J78" s="2"/>
      <c r="K78" s="2"/>
      <c r="L78" s="2"/>
      <c r="M78" s="2"/>
      <c r="N78" s="2"/>
      <c r="O78" s="2"/>
    </row>
    <row r="79" spans="2:15" ht="12.75">
      <c r="B79" s="2"/>
      <c r="C79" s="2"/>
      <c r="D79" s="2"/>
      <c r="E79" s="2"/>
      <c r="F79" s="2"/>
      <c r="G79" s="2"/>
      <c r="H79" s="2"/>
      <c r="I79" s="2"/>
      <c r="J79" s="2"/>
      <c r="K79" s="2"/>
      <c r="L79" s="2"/>
      <c r="M79" s="2"/>
      <c r="N79" s="2"/>
      <c r="O79" s="2"/>
    </row>
    <row r="80" spans="2:15" ht="12.75">
      <c r="B80" s="2"/>
      <c r="C80" s="2"/>
      <c r="D80" s="2"/>
      <c r="E80" s="2"/>
      <c r="F80" s="2"/>
      <c r="G80" s="2"/>
      <c r="H80" s="2"/>
      <c r="I80" s="2"/>
      <c r="J80" s="2"/>
      <c r="K80" s="2"/>
      <c r="L80" s="2"/>
      <c r="M80" s="2"/>
      <c r="N80" s="2"/>
      <c r="O80" s="2"/>
    </row>
    <row r="81" spans="2:15" ht="12.75">
      <c r="B81" s="2"/>
      <c r="C81" s="2"/>
      <c r="D81" s="2"/>
      <c r="E81" s="2"/>
      <c r="F81" s="2"/>
      <c r="G81" s="2"/>
      <c r="H81" s="2"/>
      <c r="I81" s="2"/>
      <c r="J81" s="2"/>
      <c r="K81" s="2"/>
      <c r="L81" s="2"/>
      <c r="M81" s="2"/>
      <c r="N81" s="2"/>
      <c r="O81" s="2"/>
    </row>
    <row r="82" spans="2:15" ht="12.75">
      <c r="B82" s="2"/>
      <c r="C82" s="2"/>
      <c r="D82" s="2"/>
      <c r="E82" s="2"/>
      <c r="F82" s="2"/>
      <c r="G82" s="2"/>
      <c r="H82" s="2"/>
      <c r="I82" s="2"/>
      <c r="J82" s="2"/>
      <c r="K82" s="2"/>
      <c r="L82" s="2"/>
      <c r="M82" s="2"/>
      <c r="N82" s="2"/>
      <c r="O82" s="2"/>
    </row>
    <row r="83" spans="2:15" ht="12.75">
      <c r="B83" s="2"/>
      <c r="C83" s="2"/>
      <c r="D83" s="2"/>
      <c r="E83" s="2"/>
      <c r="F83" s="2"/>
      <c r="G83" s="2"/>
      <c r="H83" s="2"/>
      <c r="I83" s="2"/>
      <c r="J83" s="2"/>
      <c r="K83" s="2"/>
      <c r="L83" s="2"/>
      <c r="M83" s="2"/>
      <c r="N83" s="2"/>
      <c r="O83" s="2"/>
    </row>
    <row r="84" spans="2:15" ht="12.75">
      <c r="B84" s="2"/>
      <c r="C84" s="2"/>
      <c r="D84" s="2"/>
      <c r="E84" s="2"/>
      <c r="F84" s="2"/>
      <c r="G84" s="2"/>
      <c r="H84" s="2"/>
      <c r="I84" s="2"/>
      <c r="J84" s="2"/>
      <c r="K84" s="2"/>
      <c r="L84" s="2"/>
      <c r="M84" s="2"/>
      <c r="N84" s="2"/>
      <c r="O84" s="2"/>
    </row>
    <row r="85" spans="2:15" ht="12.75">
      <c r="B85" s="2"/>
      <c r="C85" s="2"/>
      <c r="D85" s="2"/>
      <c r="E85" s="2"/>
      <c r="F85" s="2"/>
      <c r="G85" s="2"/>
      <c r="H85" s="2"/>
      <c r="I85" s="2"/>
      <c r="J85" s="2"/>
      <c r="K85" s="2"/>
      <c r="L85" s="2"/>
      <c r="M85" s="2"/>
      <c r="N85" s="2"/>
      <c r="O85" s="2"/>
    </row>
  </sheetData>
  <sheetProtection/>
  <mergeCells count="54">
    <mergeCell ref="B10:E10"/>
    <mergeCell ref="B3:P3"/>
    <mergeCell ref="B4:P4"/>
    <mergeCell ref="B5:P5"/>
    <mergeCell ref="B8:E8"/>
    <mergeCell ref="B9:E9"/>
    <mergeCell ref="B11:E11"/>
    <mergeCell ref="B12:E13"/>
    <mergeCell ref="G12:H12"/>
    <mergeCell ref="G13:H13"/>
    <mergeCell ref="B14:E14"/>
    <mergeCell ref="G14:H14"/>
    <mergeCell ref="C41:O41"/>
    <mergeCell ref="A43:C43"/>
    <mergeCell ref="F43:I45"/>
    <mergeCell ref="M43:N45"/>
    <mergeCell ref="A44:C44"/>
    <mergeCell ref="Q23:Q33"/>
    <mergeCell ref="D60:D63"/>
    <mergeCell ref="E60:E63"/>
    <mergeCell ref="G60:G63"/>
    <mergeCell ref="H60:H63"/>
    <mergeCell ref="A46:C46"/>
    <mergeCell ref="B15:E15"/>
    <mergeCell ref="B16:E16"/>
    <mergeCell ref="C19:O19"/>
    <mergeCell ref="C21:O21"/>
    <mergeCell ref="A23:A33"/>
    <mergeCell ref="L60:O60"/>
    <mergeCell ref="L61:O61"/>
    <mergeCell ref="L62:P62"/>
    <mergeCell ref="A47:C47"/>
    <mergeCell ref="C53:O53"/>
    <mergeCell ref="G55:H55"/>
    <mergeCell ref="G56:H56"/>
    <mergeCell ref="A57:C57"/>
    <mergeCell ref="A58:C58"/>
    <mergeCell ref="A59:C59"/>
    <mergeCell ref="I66:I67"/>
    <mergeCell ref="A68:C68"/>
    <mergeCell ref="F68:F70"/>
    <mergeCell ref="I68:I70"/>
    <mergeCell ref="A69:C69"/>
    <mergeCell ref="A70:C70"/>
    <mergeCell ref="M71:N71"/>
    <mergeCell ref="G72:G73"/>
    <mergeCell ref="D73:E73"/>
    <mergeCell ref="D74:E74"/>
    <mergeCell ref="D77:E77"/>
    <mergeCell ref="A64:C64"/>
    <mergeCell ref="A65:C65"/>
    <mergeCell ref="A66:C66"/>
    <mergeCell ref="F66:F67"/>
    <mergeCell ref="A71:C71"/>
  </mergeCells>
  <conditionalFormatting sqref="E57:E71 G57:G71">
    <cfRule type="cellIs" priority="1" dxfId="9" operator="greaterThan" stopIfTrue="1">
      <formula>24</formula>
    </cfRule>
  </conditionalFormatting>
  <conditionalFormatting sqref="F57:F67 F71">
    <cfRule type="cellIs" priority="2" dxfId="2" operator="greaterThan" stopIfTrue="1">
      <formula>0.04444444</formula>
    </cfRule>
    <cfRule type="cellIs" priority="3" dxfId="5" operator="lessThan" stopIfTrue="1">
      <formula>0.00133333</formula>
    </cfRule>
  </conditionalFormatting>
  <conditionalFormatting sqref="I57:I67 I71">
    <cfRule type="cellIs" priority="4" dxfId="2" operator="greaterThan" stopIfTrue="1">
      <formula>0.04444444</formula>
    </cfRule>
    <cfRule type="cellIs" priority="5" dxfId="5" operator="lessThan" stopIfTrue="1">
      <formula>0.001333333</formula>
    </cfRule>
  </conditionalFormatting>
  <conditionalFormatting sqref="C23:O33">
    <cfRule type="cellIs" priority="6" dxfId="4" operator="greaterThanOrEqual" stopIfTrue="1">
      <formula>60</formula>
    </cfRule>
    <cfRule type="cellIs" priority="7" dxfId="1" operator="lessThanOrEqual" stopIfTrue="1">
      <formula>10</formula>
    </cfRule>
    <cfRule type="cellIs" priority="8" dxfId="2" operator="between" stopIfTrue="1">
      <formula>10</formula>
      <formula>60</formula>
    </cfRule>
  </conditionalFormatting>
  <conditionalFormatting sqref="M46:N47">
    <cfRule type="cellIs" priority="9" dxfId="1" operator="lessThan" stopIfTrue="1">
      <formula>0.5</formula>
    </cfRule>
  </conditionalFormatting>
  <conditionalFormatting sqref="P23:P33">
    <cfRule type="cellIs" priority="10" dxfId="0" operator="notBetween" stopIfTrue="1">
      <formula>$F$16</formula>
      <formula>$F$15</formula>
    </cfRule>
  </conditionalFormatting>
  <hyperlinks>
    <hyperlink ref="B5" r:id="rId1" display="www.cosmo.prv.pl"/>
    <hyperlink ref="B5:P5" r:id="rId2" display="http://www.cosmo.prv.pl/"/>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9" sqref="A9"/>
    </sheetView>
  </sheetViews>
  <sheetFormatPr defaultColWidth="9.140625" defaultRowHeight="12.75"/>
  <sheetData>
    <row r="1" ht="12.75">
      <c r="A1">
        <v>3500</v>
      </c>
    </row>
    <row r="2" ht="12.75">
      <c r="A2">
        <v>630</v>
      </c>
    </row>
    <row r="3" ht="12.75">
      <c r="A3">
        <v>530</v>
      </c>
    </row>
    <row r="4" ht="12.75">
      <c r="A4">
        <v>800</v>
      </c>
    </row>
    <row r="5" ht="12.75">
      <c r="A5">
        <v>840</v>
      </c>
    </row>
    <row r="6" ht="12.75">
      <c r="A6">
        <v>620</v>
      </c>
    </row>
    <row r="7" ht="12.75">
      <c r="A7">
        <v>480</v>
      </c>
    </row>
    <row r="8" ht="12.75">
      <c r="A8">
        <f>SUM(A1:A7)</f>
        <v>7400</v>
      </c>
    </row>
    <row r="9" ht="12.75">
      <c r="A9">
        <f>A8*4.2</f>
        <v>31080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uniwersal</dc:creator>
  <cp:keywords/>
  <dc:description/>
  <cp:lastModifiedBy>a.konieczna</cp:lastModifiedBy>
  <cp:lastPrinted>2013-09-17T12:16:30Z</cp:lastPrinted>
  <dcterms:created xsi:type="dcterms:W3CDTF">2013-06-25T08:05:42Z</dcterms:created>
  <dcterms:modified xsi:type="dcterms:W3CDTF">2013-12-16T10:57:48Z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