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11580"/>
  </bookViews>
  <sheets>
    <sheet name="Bezprzewodowe stacje pogody" sheetId="1" r:id="rId1"/>
    <sheet name="Arkusz1 (2)" sheetId="3" state="hidden" r:id="rId2"/>
    <sheet name="Arkusz3" sheetId="4" state="hidden" r:id="rId3"/>
  </sheets>
  <definedNames>
    <definedName name="_xlnm._FilterDatabase" localSheetId="0" hidden="1">'Bezprzewodowe stacje pogody'!$A$5:$G$7</definedName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calcId="125725"/>
</workbook>
</file>

<file path=xl/calcChain.xml><?xml version="1.0" encoding="utf-8"?>
<calcChain xmlns="http://schemas.openxmlformats.org/spreadsheetml/2006/main">
  <c r="G7" i="1"/>
  <c r="G8" s="1"/>
  <c r="A9" i="4" l="1"/>
  <c r="A8"/>
  <c r="I71" i="3"/>
  <c r="G71"/>
  <c r="H71" s="1"/>
  <c r="F71"/>
  <c r="E71"/>
  <c r="G70"/>
  <c r="H70" s="1"/>
  <c r="E70"/>
  <c r="G69"/>
  <c r="H69" s="1"/>
  <c r="E69"/>
  <c r="G68"/>
  <c r="H68" s="1"/>
  <c r="E68"/>
  <c r="G67"/>
  <c r="H67" s="1"/>
  <c r="E67"/>
  <c r="I66"/>
  <c r="G66"/>
  <c r="H66" s="1"/>
  <c r="F66"/>
  <c r="E66"/>
  <c r="I65"/>
  <c r="G65"/>
  <c r="H65" s="1"/>
  <c r="F65"/>
  <c r="E65"/>
  <c r="I64"/>
  <c r="G64"/>
  <c r="H64" s="1"/>
  <c r="F64"/>
  <c r="E64"/>
  <c r="I63"/>
  <c r="F63"/>
  <c r="I62"/>
  <c r="F62"/>
  <c r="I61"/>
  <c r="F61"/>
  <c r="I60"/>
  <c r="G60"/>
  <c r="H60" s="1"/>
  <c r="F60"/>
  <c r="E60"/>
  <c r="I59"/>
  <c r="G59"/>
  <c r="H59" s="1"/>
  <c r="F59"/>
  <c r="E59"/>
  <c r="I58"/>
  <c r="G58"/>
  <c r="H58" s="1"/>
  <c r="F58"/>
  <c r="E58"/>
  <c r="I57"/>
  <c r="G57"/>
  <c r="H57" s="1"/>
  <c r="F57"/>
  <c r="E57"/>
  <c r="I56"/>
  <c r="I55"/>
  <c r="L47"/>
  <c r="N47" s="1"/>
  <c r="K47"/>
  <c r="M47" s="1"/>
  <c r="L46"/>
  <c r="N46" s="1"/>
  <c r="K46"/>
  <c r="M46" s="1"/>
  <c r="I46"/>
  <c r="H46"/>
  <c r="L45"/>
  <c r="K45"/>
  <c r="L44"/>
  <c r="K44"/>
  <c r="L43"/>
  <c r="K43"/>
  <c r="P33"/>
  <c r="O33"/>
  <c r="N33"/>
  <c r="M33"/>
  <c r="L33"/>
  <c r="K33"/>
  <c r="J33"/>
  <c r="I33"/>
  <c r="H33"/>
  <c r="G33"/>
  <c r="F33"/>
  <c r="E33"/>
  <c r="D33"/>
  <c r="C33"/>
  <c r="P32"/>
  <c r="O32"/>
  <c r="N32"/>
  <c r="M32"/>
  <c r="L32"/>
  <c r="K32"/>
  <c r="J32"/>
  <c r="I32"/>
  <c r="H32"/>
  <c r="G32"/>
  <c r="F32"/>
  <c r="E32"/>
  <c r="D32"/>
  <c r="C32"/>
  <c r="P31"/>
  <c r="O31"/>
  <c r="N31"/>
  <c r="M31"/>
  <c r="L31"/>
  <c r="K31"/>
  <c r="J31"/>
  <c r="I31"/>
  <c r="H31"/>
  <c r="G31"/>
  <c r="F31"/>
  <c r="E31"/>
  <c r="D31"/>
  <c r="C31"/>
  <c r="P30"/>
  <c r="O30"/>
  <c r="N30"/>
  <c r="M30"/>
  <c r="L30"/>
  <c r="K30"/>
  <c r="J30"/>
  <c r="I30"/>
  <c r="H30"/>
  <c r="G30"/>
  <c r="F30"/>
  <c r="E30"/>
  <c r="D30"/>
  <c r="C30"/>
  <c r="P29"/>
  <c r="O29"/>
  <c r="N29"/>
  <c r="M29"/>
  <c r="L29"/>
  <c r="K29"/>
  <c r="J29"/>
  <c r="I29"/>
  <c r="H29"/>
  <c r="G29"/>
  <c r="F29"/>
  <c r="E29"/>
  <c r="D29"/>
  <c r="C29"/>
  <c r="P28"/>
  <c r="O28"/>
  <c r="N28"/>
  <c r="M28"/>
  <c r="L28"/>
  <c r="K28"/>
  <c r="J28"/>
  <c r="I28"/>
  <c r="H28"/>
  <c r="G28"/>
  <c r="F28"/>
  <c r="E28"/>
  <c r="D28"/>
  <c r="C28"/>
  <c r="P27"/>
  <c r="O27"/>
  <c r="N27"/>
  <c r="M27"/>
  <c r="L27"/>
  <c r="K27"/>
  <c r="J27"/>
  <c r="I27"/>
  <c r="H27"/>
  <c r="G27"/>
  <c r="F27"/>
  <c r="E27"/>
  <c r="D27"/>
  <c r="C27"/>
  <c r="P26"/>
  <c r="O26"/>
  <c r="N26"/>
  <c r="M26"/>
  <c r="L26"/>
  <c r="K26"/>
  <c r="J26"/>
  <c r="I26"/>
  <c r="H26"/>
  <c r="G26"/>
  <c r="F26"/>
  <c r="E26"/>
  <c r="D26"/>
  <c r="C26"/>
  <c r="P25"/>
  <c r="O25"/>
  <c r="N25"/>
  <c r="M25"/>
  <c r="L25"/>
  <c r="K25"/>
  <c r="J25"/>
  <c r="I25"/>
  <c r="H25"/>
  <c r="G25"/>
  <c r="F25"/>
  <c r="E25"/>
  <c r="D25"/>
  <c r="C25"/>
  <c r="P24"/>
  <c r="O24"/>
  <c r="N24"/>
  <c r="M24"/>
  <c r="L24"/>
  <c r="K24"/>
  <c r="J24"/>
  <c r="I24"/>
  <c r="H24"/>
  <c r="G24"/>
  <c r="F24"/>
  <c r="E24"/>
  <c r="D24"/>
  <c r="C24"/>
  <c r="P23"/>
  <c r="O23"/>
  <c r="N23"/>
  <c r="M23"/>
  <c r="L23"/>
  <c r="K23"/>
  <c r="J23"/>
  <c r="I23"/>
  <c r="H23"/>
  <c r="G23"/>
  <c r="F23"/>
  <c r="E23"/>
  <c r="D23"/>
  <c r="C23"/>
  <c r="H16"/>
  <c r="F16"/>
  <c r="F15"/>
  <c r="H15" s="1"/>
  <c r="I14"/>
  <c r="F14"/>
  <c r="F13"/>
  <c r="F12"/>
  <c r="F11"/>
  <c r="F10"/>
</calcChain>
</file>

<file path=xl/sharedStrings.xml><?xml version="1.0" encoding="utf-8"?>
<sst xmlns="http://schemas.openxmlformats.org/spreadsheetml/2006/main" count="90" uniqueCount="87">
  <si>
    <t>Nazwa produktu</t>
  </si>
  <si>
    <t>Opis produktu</t>
  </si>
  <si>
    <t>Liczba sztuk do zamówienia</t>
  </si>
  <si>
    <t>Przykładowy typ (nazwa produktu, symbol, producent, opis)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</si>
  <si>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</si>
  <si>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</si>
  <si>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</si>
  <si>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</si>
  <si>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</si>
  <si>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</si>
  <si>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</si>
  <si>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</si>
  <si>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</si>
  <si>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</si>
  <si>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</si>
  <si>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</si>
  <si>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</si>
  <si>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</si>
  <si>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</si>
  <si>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</si>
  <si>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</si>
  <si>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</si>
  <si>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</si>
  <si>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</si>
  <si>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</si>
  <si>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</si>
  <si>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</si>
  <si>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</si>
  <si>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</si>
  <si>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</si>
  <si>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</si>
  <si>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</si>
  <si>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</si>
  <si>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</si>
  <si>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</si>
  <si>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</si>
  <si>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</si>
  <si>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</si>
  <si>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</si>
  <si>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</si>
  <si>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</si>
  <si>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</si>
  <si>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</si>
  <si>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</si>
  <si>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</si>
  <si>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</si>
  <si>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</si>
  <si>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</si>
  <si>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</si>
  <si>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</si>
  <si>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</si>
  <si>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</si>
  <si>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</si>
  <si>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</si>
  <si>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</si>
  <si>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</si>
  <si>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</si>
  <si>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</si>
  <si>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</si>
  <si>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</si>
  <si>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</si>
  <si>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</si>
  <si>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</si>
  <si>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</si>
  <si>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</si>
  <si>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</si>
  <si>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</si>
  <si>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</si>
  <si>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</si>
  <si>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</si>
  <si>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</si>
  <si>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</si>
  <si>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</si>
  <si>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</si>
  <si>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</si>
  <si>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</si>
  <si>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</si>
  <si>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</si>
  <si>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</si>
  <si>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Wartość jednostkowa brutto</t>
  </si>
  <si>
    <t>Bezprzewodowa stacja pogody z zestawem czujników</t>
  </si>
  <si>
    <t>Wartość brutto</t>
  </si>
  <si>
    <t>np. Fine Offset Electronics WH1080; OREGON SCIENTIFIC  WMR88 Pro; Oregon Scientific WMR 200; Technoline WS 2300; La Crosse WS2355 lub inna równoważna</t>
  </si>
  <si>
    <t>Stacja pogody z zestawem czujników służąca do pomiaru i rejestracji temperatury, wilgotności wewnętrznej i zewnętrznej oraz ciśnienia atmosferycznego wiatru oraz deszczu. Możliwość wyświetlania temperatury zewnętrznej i wewnętrznej oraz wilgotności - wartości maksymalne i minimalne. Odczyt punktu rosy. Historia ciśnienia atmosferycznego z ostatnich 24 godzin. Prędkość i kierunek wiatru. Bezprzewodowe przesyłanie danych pomiarowych z zestawu czujników do stacji bazowej z wyświelaczem i oprogramowanie umożliwiające przesyłanie i opracowanie danych pogodowych za pomocą komputera. Zgodność z programem Cumulus Weather wyświetlającym odczyty stacji na stronie internetowej.
Zegar automatycznie synchronizowany sygnałem DCF
Zakres pomiarowy prędkości wiatru co najmniej 0-160 km/h 
Dokładność dla prędkości wiatru co najwyżej +- 3 m/s
Zakres pomiarowy – opady co najmniej od 0 do 9999 mm
Dokładność pomiaru temperatury co najwyżej 0,1°C
Zakres pomiarowy wilgotności powietrza na zewnątrz co najmniej od 20% do 95%
Zakres pomiarowy temperatury wewnątrz co najmniej od 0°C do +50 °C
Zakres pomiaru temperatury zewnętrznej co najmniej od -29,9°C do +65°C
Zakres pomiarowy ciśnienia powietrza co najmniej od 700 do 1050 hPa
Zakres sygnału z czujników do 25 m na otwartej przestrzeni
Załączony komplet czujników oraz niezbędnych akumulatorów lub baterii. Okres gwarancji minimum 12 miesięcy.</t>
  </si>
  <si>
    <t>WYKAZ  RZECZOWO-CENOWY  dla części I</t>
  </si>
  <si>
    <t>załącznik nr 2a do SIWZ</t>
  </si>
  <si>
    <t>Proponowany asortyment</t>
  </si>
</sst>
</file>

<file path=xl/styles.xml><?xml version="1.0" encoding="utf-8"?>
<styleSheet xmlns="http://schemas.openxmlformats.org/spreadsheetml/2006/main">
  <numFmts count="17">
    <numFmt numFmtId="164" formatCode="#,##0.00\ &quot;zł&quot;"/>
    <numFmt numFmtId="165" formatCode="0\ &quot;mm&quot;"/>
    <numFmt numFmtId="166" formatCode="&quot;f/&quot;\ 0.0"/>
    <numFmt numFmtId="167" formatCode="0.0&quot;''&quot;"/>
    <numFmt numFmtId="168" formatCode="0.0\ &quot;m&quot;"/>
    <numFmt numFmtId="169" formatCode="0.0\ &quot;x&quot;"/>
    <numFmt numFmtId="170" formatCode="0&quot;x&quot;"/>
    <numFmt numFmtId="171" formatCode="0\ &quot;x&quot;"/>
    <numFmt numFmtId="172" formatCode="0&quot;'&quot;"/>
    <numFmt numFmtId="173" formatCode="0.0"/>
    <numFmt numFmtId="174" formatCode="0.00&quot;''&quot;"/>
    <numFmt numFmtId="175" formatCode="&quot;f/ &quot;0.0\ "/>
    <numFmt numFmtId="176" formatCode="0.00\ &quot;mm&quot;"/>
    <numFmt numFmtId="177" formatCode="0.0000\ &quot;s&quot;"/>
    <numFmt numFmtId="178" formatCode="0.0\ &quot;mm&quot;"/>
    <numFmt numFmtId="179" formatCode="#,##0.00\ _z_ł;[Red]#,##\&lt;\1\ 0.00\ _z_ł"/>
    <numFmt numFmtId="180" formatCode="0\ &quot;ASA&quot;"/>
  </numFmts>
  <fonts count="37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u/>
      <sz val="8"/>
      <color indexed="12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i/>
      <sz val="7"/>
      <color indexed="9"/>
      <name val="Arial CE"/>
      <family val="2"/>
      <charset val="238"/>
    </font>
    <font>
      <b/>
      <i/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0" borderId="0"/>
  </cellStyleXfs>
  <cellXfs count="126">
    <xf numFmtId="0" fontId="0" fillId="0" borderId="0" xfId="0"/>
    <xf numFmtId="0" fontId="20" fillId="24" borderId="10" xfId="3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65" fontId="27" fillId="25" borderId="0" xfId="0" applyNumberFormat="1" applyFont="1" applyFill="1" applyBorder="1" applyProtection="1">
      <protection locked="0"/>
    </xf>
    <xf numFmtId="166" fontId="28" fillId="0" borderId="0" xfId="0" applyNumberFormat="1" applyFont="1" applyFill="1" applyAlignment="1">
      <alignment horizontal="center"/>
    </xf>
    <xf numFmtId="167" fontId="28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9" fontId="28" fillId="0" borderId="0" xfId="0" applyNumberFormat="1" applyFont="1" applyFill="1" applyAlignment="1">
      <alignment horizontal="center"/>
    </xf>
    <xf numFmtId="165" fontId="28" fillId="0" borderId="0" xfId="0" applyNumberFormat="1" applyFont="1" applyAlignment="1">
      <alignment horizontal="left"/>
    </xf>
    <xf numFmtId="170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/>
    </xf>
    <xf numFmtId="165" fontId="28" fillId="0" borderId="0" xfId="0" applyNumberFormat="1" applyFont="1" applyAlignment="1">
      <alignment horizontal="center"/>
    </xf>
    <xf numFmtId="165" fontId="27" fillId="25" borderId="0" xfId="0" applyNumberFormat="1" applyFont="1" applyFill="1" applyAlignment="1" applyProtection="1">
      <alignment horizontal="center"/>
      <protection locked="0"/>
    </xf>
    <xf numFmtId="171" fontId="29" fillId="0" borderId="0" xfId="0" applyNumberFormat="1" applyFont="1" applyFill="1"/>
    <xf numFmtId="0" fontId="29" fillId="0" borderId="0" xfId="0" applyFont="1" applyAlignment="1">
      <alignment horizontal="center"/>
    </xf>
    <xf numFmtId="168" fontId="29" fillId="0" borderId="0" xfId="0" applyNumberFormat="1" applyFont="1" applyFill="1"/>
    <xf numFmtId="0" fontId="0" fillId="0" borderId="0" xfId="0" applyFill="1" applyAlignment="1">
      <alignment horizontal="center"/>
    </xf>
    <xf numFmtId="1" fontId="28" fillId="26" borderId="0" xfId="0" applyNumberFormat="1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172" fontId="28" fillId="0" borderId="10" xfId="0" applyNumberFormat="1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0" fontId="28" fillId="26" borderId="17" xfId="0" applyNumberFormat="1" applyFont="1" applyFill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  <xf numFmtId="172" fontId="28" fillId="0" borderId="10" xfId="0" applyNumberFormat="1" applyFont="1" applyFill="1" applyBorder="1" applyAlignment="1">
      <alignment horizontal="center"/>
    </xf>
    <xf numFmtId="0" fontId="28" fillId="0" borderId="0" xfId="0" applyFont="1"/>
    <xf numFmtId="0" fontId="0" fillId="27" borderId="0" xfId="0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8" borderId="0" xfId="0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173" fontId="28" fillId="0" borderId="10" xfId="0" applyNumberFormat="1" applyFont="1" applyBorder="1" applyAlignment="1">
      <alignment horizontal="center"/>
    </xf>
    <xf numFmtId="0" fontId="28" fillId="26" borderId="0" xfId="0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31" fillId="26" borderId="0" xfId="0" applyFont="1" applyFill="1" applyAlignment="1">
      <alignment horizontal="left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4" fontId="28" fillId="0" borderId="10" xfId="0" applyNumberFormat="1" applyFont="1" applyFill="1" applyBorder="1" applyAlignment="1">
      <alignment horizontal="center"/>
    </xf>
    <xf numFmtId="2" fontId="33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31" fillId="26" borderId="0" xfId="0" applyFont="1" applyFill="1" applyAlignment="1">
      <alignment horizontal="center" vertical="top" textRotation="90" wrapText="1"/>
    </xf>
    <xf numFmtId="0" fontId="31" fillId="31" borderId="0" xfId="0" applyFont="1" applyFill="1" applyAlignment="1">
      <alignment horizontal="center" vertical="top" textRotation="90" wrapText="1"/>
    </xf>
    <xf numFmtId="0" fontId="0" fillId="27" borderId="0" xfId="0" applyFill="1" applyAlignment="1">
      <alignment horizontal="center"/>
    </xf>
    <xf numFmtId="0" fontId="30" fillId="0" borderId="0" xfId="0" applyFont="1" applyAlignment="1">
      <alignment horizontal="center"/>
    </xf>
    <xf numFmtId="175" fontId="28" fillId="30" borderId="12" xfId="0" applyNumberFormat="1" applyFont="1" applyFill="1" applyBorder="1"/>
    <xf numFmtId="165" fontId="28" fillId="30" borderId="12" xfId="0" applyNumberFormat="1" applyFont="1" applyFill="1" applyBorder="1"/>
    <xf numFmtId="167" fontId="28" fillId="0" borderId="12" xfId="0" applyNumberFormat="1" applyFont="1" applyBorder="1" applyAlignment="1" applyProtection="1">
      <alignment horizontal="center"/>
      <protection locked="0"/>
    </xf>
    <xf numFmtId="176" fontId="28" fillId="0" borderId="10" xfId="0" applyNumberFormat="1" applyFont="1" applyBorder="1" applyAlignment="1">
      <alignment horizontal="center"/>
    </xf>
    <xf numFmtId="177" fontId="28" fillId="0" borderId="10" xfId="0" applyNumberFormat="1" applyFont="1" applyBorder="1" applyAlignment="1">
      <alignment horizontal="center"/>
    </xf>
    <xf numFmtId="176" fontId="28" fillId="0" borderId="11" xfId="0" applyNumberFormat="1" applyFont="1" applyFill="1" applyBorder="1" applyAlignment="1">
      <alignment horizontal="center"/>
    </xf>
    <xf numFmtId="178" fontId="28" fillId="0" borderId="11" xfId="0" applyNumberFormat="1" applyFont="1" applyBorder="1" applyAlignment="1">
      <alignment horizontal="center"/>
    </xf>
    <xf numFmtId="177" fontId="28" fillId="0" borderId="11" xfId="0" applyNumberFormat="1" applyFont="1" applyBorder="1" applyAlignment="1">
      <alignment horizontal="center"/>
    </xf>
    <xf numFmtId="176" fontId="28" fillId="0" borderId="10" xfId="0" applyNumberFormat="1" applyFont="1" applyFill="1" applyBorder="1" applyAlignment="1">
      <alignment horizontal="center"/>
    </xf>
    <xf numFmtId="178" fontId="28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8" fillId="26" borderId="0" xfId="0" applyFont="1" applyFill="1" applyBorder="1" applyAlignment="1">
      <alignment horizontal="left"/>
    </xf>
    <xf numFmtId="0" fontId="28" fillId="26" borderId="20" xfId="0" applyFont="1" applyFill="1" applyBorder="1" applyAlignment="1">
      <alignment horizontal="left"/>
    </xf>
    <xf numFmtId="0" fontId="0" fillId="28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167" fontId="24" fillId="0" borderId="12" xfId="0" applyNumberFormat="1" applyFont="1" applyBorder="1" applyAlignment="1" applyProtection="1">
      <alignment horizontal="center"/>
      <protection locked="0"/>
    </xf>
    <xf numFmtId="176" fontId="24" fillId="0" borderId="10" xfId="0" applyNumberFormat="1" applyFont="1" applyBorder="1" applyAlignment="1">
      <alignment horizontal="center"/>
    </xf>
    <xf numFmtId="177" fontId="24" fillId="0" borderId="10" xfId="0" applyNumberFormat="1" applyFont="1" applyBorder="1" applyAlignment="1">
      <alignment horizontal="center"/>
    </xf>
    <xf numFmtId="176" fontId="24" fillId="0" borderId="10" xfId="0" applyNumberFormat="1" applyFont="1" applyFill="1" applyBorder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0" fontId="28" fillId="26" borderId="10" xfId="0" applyFont="1" applyFill="1" applyBorder="1" applyAlignment="1">
      <alignment horizontal="center" textRotation="90" wrapText="1"/>
    </xf>
    <xf numFmtId="0" fontId="28" fillId="26" borderId="11" xfId="0" applyFont="1" applyFill="1" applyBorder="1" applyAlignment="1">
      <alignment horizontal="center" textRotation="90" wrapText="1"/>
    </xf>
    <xf numFmtId="0" fontId="28" fillId="30" borderId="10" xfId="0" applyFont="1" applyFill="1" applyBorder="1" applyAlignment="1">
      <alignment horizontal="center" textRotation="90" wrapText="1"/>
    </xf>
    <xf numFmtId="180" fontId="27" fillId="25" borderId="1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right"/>
    </xf>
    <xf numFmtId="165" fontId="27" fillId="25" borderId="10" xfId="0" applyNumberFormat="1" applyFont="1" applyFill="1" applyBorder="1" applyAlignment="1" applyProtection="1">
      <alignment horizontal="left"/>
      <protection locked="0"/>
    </xf>
    <xf numFmtId="0" fontId="21" fillId="0" borderId="10" xfId="35" applyFont="1" applyFill="1" applyBorder="1" applyAlignment="1">
      <alignment horizontal="center" vertical="center" wrapText="1"/>
    </xf>
    <xf numFmtId="164" fontId="21" fillId="0" borderId="10" xfId="35" applyNumberFormat="1" applyFont="1" applyFill="1" applyBorder="1" applyAlignment="1">
      <alignment horizontal="center" vertical="center" wrapText="1"/>
    </xf>
    <xf numFmtId="0" fontId="21" fillId="0" borderId="10" xfId="35" applyNumberFormat="1" applyFont="1" applyFill="1" applyBorder="1" applyAlignment="1">
      <alignment horizontal="center" vertical="center" wrapText="1"/>
    </xf>
    <xf numFmtId="0" fontId="21" fillId="0" borderId="10" xfId="35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36" fillId="24" borderId="10" xfId="44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0" fontId="28" fillId="30" borderId="16" xfId="0" applyFont="1" applyFill="1" applyBorder="1" applyAlignment="1">
      <alignment horizontal="center" textRotation="90" wrapText="1"/>
    </xf>
    <xf numFmtId="0" fontId="28" fillId="30" borderId="11" xfId="0" applyFont="1" applyFill="1" applyBorder="1" applyAlignment="1">
      <alignment horizontal="center" textRotation="90" wrapText="1"/>
    </xf>
    <xf numFmtId="0" fontId="28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Alignment="1">
      <alignment horizontal="center"/>
    </xf>
    <xf numFmtId="0" fontId="28" fillId="26" borderId="0" xfId="0" applyFont="1" applyFill="1" applyBorder="1" applyAlignment="1">
      <alignment horizontal="left"/>
    </xf>
    <xf numFmtId="0" fontId="28" fillId="26" borderId="20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left"/>
    </xf>
    <xf numFmtId="0" fontId="24" fillId="26" borderId="20" xfId="0" applyFont="1" applyFill="1" applyBorder="1" applyAlignment="1">
      <alignment horizontal="left"/>
    </xf>
    <xf numFmtId="177" fontId="28" fillId="0" borderId="15" xfId="0" applyNumberFormat="1" applyFont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2" fillId="25" borderId="0" xfId="0" applyFont="1" applyFill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28" fillId="30" borderId="13" xfId="0" applyFont="1" applyFill="1" applyBorder="1" applyAlignment="1">
      <alignment horizontal="left"/>
    </xf>
    <xf numFmtId="0" fontId="28" fillId="30" borderId="14" xfId="0" applyFont="1" applyFill="1" applyBorder="1" applyAlignment="1">
      <alignment horizontal="left"/>
    </xf>
    <xf numFmtId="167" fontId="28" fillId="0" borderId="12" xfId="0" applyNumberFormat="1" applyFont="1" applyBorder="1" applyAlignment="1" applyProtection="1">
      <alignment horizontal="center" vertical="center"/>
      <protection locked="0"/>
    </xf>
    <xf numFmtId="176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0" fontId="31" fillId="31" borderId="0" xfId="0" applyFont="1" applyFill="1" applyAlignment="1">
      <alignment horizontal="left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 vertical="center" textRotation="90"/>
    </xf>
    <xf numFmtId="0" fontId="31" fillId="26" borderId="0" xfId="0" applyFont="1" applyFill="1" applyAlignment="1">
      <alignment horizontal="left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textRotation="180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43" applyFont="1" applyAlignment="1" applyProtection="1">
      <alignment horizontal="center"/>
    </xf>
    <xf numFmtId="0" fontId="26" fillId="0" borderId="0" xfId="0" applyFont="1" applyFill="1" applyAlignment="1">
      <alignment horizontal="left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43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7" xfId="44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smo.prv.pl/" TargetMode="External"/><Relationship Id="rId1" Type="http://schemas.openxmlformats.org/officeDocument/2006/relationships/hyperlink" Target="http://www.cosmo.pr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tabSelected="1" topLeftCell="B4" zoomScale="90" zoomScaleNormal="90" workbookViewId="0">
      <selection activeCell="C9" sqref="C9"/>
    </sheetView>
  </sheetViews>
  <sheetFormatPr defaultRowHeight="12.75"/>
  <cols>
    <col min="1" max="1" width="9.140625" style="78"/>
    <col min="2" max="2" width="20.7109375" style="80" customWidth="1"/>
    <col min="3" max="3" width="20.7109375" style="79" customWidth="1"/>
    <col min="4" max="4" width="60.7109375" style="80" customWidth="1"/>
    <col min="5" max="7" width="12.7109375" style="78" customWidth="1"/>
    <col min="8" max="8" width="13.140625" customWidth="1"/>
    <col min="9" max="16384" width="9.140625" style="79"/>
  </cols>
  <sheetData>
    <row r="2" spans="1:8">
      <c r="F2" s="85" t="s">
        <v>85</v>
      </c>
      <c r="G2" s="85"/>
    </row>
    <row r="3" spans="1:8" ht="15">
      <c r="D3" s="82" t="s">
        <v>84</v>
      </c>
    </row>
    <row r="5" spans="1:8" ht="45" customHeight="1">
      <c r="A5" s="1" t="s">
        <v>4</v>
      </c>
      <c r="B5" s="1" t="s">
        <v>0</v>
      </c>
      <c r="C5" s="1" t="s">
        <v>3</v>
      </c>
      <c r="D5" s="1" t="s">
        <v>1</v>
      </c>
      <c r="E5" s="1" t="s">
        <v>2</v>
      </c>
      <c r="F5" s="1" t="s">
        <v>79</v>
      </c>
      <c r="G5" s="1" t="s">
        <v>81</v>
      </c>
      <c r="H5" s="84" t="s">
        <v>86</v>
      </c>
    </row>
    <row r="6" spans="1:8" ht="12">
      <c r="A6" s="1">
        <v>1</v>
      </c>
      <c r="B6" s="1">
        <v>2</v>
      </c>
      <c r="C6" s="1">
        <v>3</v>
      </c>
      <c r="D6" s="1">
        <v>4</v>
      </c>
      <c r="E6" s="1">
        <v>6</v>
      </c>
      <c r="F6" s="1">
        <v>7</v>
      </c>
      <c r="G6" s="1">
        <v>8</v>
      </c>
      <c r="H6" s="1">
        <v>9</v>
      </c>
    </row>
    <row r="7" spans="1:8" ht="276">
      <c r="A7" s="74">
        <v>1</v>
      </c>
      <c r="B7" s="77" t="s">
        <v>80</v>
      </c>
      <c r="C7" s="77" t="s">
        <v>82</v>
      </c>
      <c r="D7" s="77" t="s">
        <v>83</v>
      </c>
      <c r="E7" s="76">
        <v>383</v>
      </c>
      <c r="F7" s="75"/>
      <c r="G7" s="75">
        <f>E7*F7</f>
        <v>0</v>
      </c>
      <c r="H7" s="83"/>
    </row>
    <row r="8" spans="1:8" ht="26.1" customHeight="1">
      <c r="G8" s="81">
        <f>SUM(G7:G7)</f>
        <v>0</v>
      </c>
      <c r="H8" s="79"/>
    </row>
    <row r="9" spans="1:8" ht="12">
      <c r="H9" s="79"/>
    </row>
    <row r="10" spans="1:8" ht="12">
      <c r="H10" s="79"/>
    </row>
    <row r="11" spans="1:8" ht="12">
      <c r="H11" s="79"/>
    </row>
    <row r="12" spans="1:8" ht="12">
      <c r="H12" s="79"/>
    </row>
    <row r="13" spans="1:8" ht="12">
      <c r="H13" s="79"/>
    </row>
    <row r="14" spans="1:8" ht="12">
      <c r="H14" s="79"/>
    </row>
    <row r="15" spans="1:8" ht="12">
      <c r="H15" s="79"/>
    </row>
    <row r="16" spans="1:8" ht="12">
      <c r="H16" s="79"/>
    </row>
    <row r="17" spans="8:8" ht="12">
      <c r="H17" s="79"/>
    </row>
    <row r="18" spans="8:8" ht="12">
      <c r="H18" s="79"/>
    </row>
  </sheetData>
  <mergeCells count="1">
    <mergeCell ref="F2:G2"/>
  </mergeCells>
  <phoneticPr fontId="19" type="noConversion"/>
  <pageMargins left="0.23622047244094491" right="0.23622047244094491" top="0.39370078740157483" bottom="0.39370078740157483" header="0" footer="0"/>
  <pageSetup paperSize="9"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workbookViewId="0">
      <selection activeCell="F59" sqref="F59"/>
    </sheetView>
  </sheetViews>
  <sheetFormatPr defaultRowHeight="12.75"/>
  <sheetData>
    <row r="1" spans="2:1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6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123" t="s">
        <v>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6">
      <c r="B4" s="9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2:16">
      <c r="B5" s="124" t="s">
        <v>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6">
      <c r="B8" s="125" t="s">
        <v>8</v>
      </c>
      <c r="C8" s="125"/>
      <c r="D8" s="125"/>
      <c r="E8" s="125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6">
      <c r="B9" s="125" t="s">
        <v>9</v>
      </c>
      <c r="C9" s="125"/>
      <c r="D9" s="125"/>
      <c r="E9" s="125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6">
      <c r="B10" s="122" t="s">
        <v>10</v>
      </c>
      <c r="C10" s="122"/>
      <c r="D10" s="122"/>
      <c r="E10" s="122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6">
      <c r="B11" s="112" t="s">
        <v>11</v>
      </c>
      <c r="C11" s="112"/>
      <c r="D11" s="112"/>
      <c r="E11" s="112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6">
      <c r="B12" s="121" t="s">
        <v>12</v>
      </c>
      <c r="C12" s="121"/>
      <c r="D12" s="121"/>
      <c r="E12" s="121"/>
      <c r="F12" s="7">
        <f>LN(d)*2.403</f>
        <v>10.20913406664461</v>
      </c>
      <c r="G12" s="102" t="s">
        <v>13</v>
      </c>
      <c r="H12" s="102"/>
      <c r="I12" s="2"/>
      <c r="J12" s="2"/>
      <c r="K12" s="2"/>
      <c r="L12" s="2"/>
      <c r="M12" s="2"/>
      <c r="N12" s="2"/>
      <c r="O12" s="2"/>
    </row>
    <row r="13" spans="2:16">
      <c r="B13" s="121"/>
      <c r="C13" s="121"/>
      <c r="D13" s="121"/>
      <c r="E13" s="121"/>
      <c r="F13" s="7">
        <f>LN(d)*2.753</f>
        <v>11.696107401361887</v>
      </c>
      <c r="G13" s="102" t="s">
        <v>14</v>
      </c>
      <c r="H13" s="102"/>
      <c r="I13" s="2"/>
      <c r="J13" s="2"/>
      <c r="K13" s="2"/>
      <c r="L13" s="2"/>
      <c r="M13" s="2"/>
      <c r="N13" s="2"/>
      <c r="O13" s="2"/>
    </row>
    <row r="14" spans="2:16">
      <c r="B14" s="112" t="s">
        <v>15</v>
      </c>
      <c r="C14" s="112"/>
      <c r="D14" s="112"/>
      <c r="E14" s="112"/>
      <c r="F14" s="8">
        <f>(3.141592*((d/2)*(d/2))) / (3.141592*((J16/2)*(J16/2)))</f>
        <v>196</v>
      </c>
      <c r="G14" s="102" t="s">
        <v>16</v>
      </c>
      <c r="H14" s="102"/>
      <c r="I14" s="9">
        <f>J16</f>
        <v>5</v>
      </c>
      <c r="J14" s="2"/>
      <c r="K14" s="2"/>
      <c r="L14" s="2"/>
      <c r="M14" s="2"/>
      <c r="N14" s="2"/>
      <c r="O14" s="2"/>
    </row>
    <row r="15" spans="2:16">
      <c r="B15" s="112" t="s">
        <v>17</v>
      </c>
      <c r="C15" s="112"/>
      <c r="D15" s="112"/>
      <c r="E15" s="112"/>
      <c r="F15" s="10">
        <f>d*2</f>
        <v>140</v>
      </c>
      <c r="G15" s="11" t="s">
        <v>18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6">
      <c r="B16" s="112" t="s">
        <v>19</v>
      </c>
      <c r="C16" s="112"/>
      <c r="D16" s="112"/>
      <c r="E16" s="112"/>
      <c r="F16" s="10">
        <f>(d/J16)</f>
        <v>14</v>
      </c>
      <c r="G16" s="11" t="s">
        <v>18</v>
      </c>
      <c r="H16" s="12">
        <f>f/(d/J16)</f>
        <v>30</v>
      </c>
      <c r="I16" s="11" t="s">
        <v>20</v>
      </c>
      <c r="J16" s="13">
        <v>5</v>
      </c>
      <c r="K16" s="2"/>
      <c r="L16" s="2"/>
      <c r="M16" s="2"/>
      <c r="N16" s="2"/>
      <c r="O16" s="2"/>
    </row>
    <row r="17" spans="1:17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7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7">
      <c r="A19" s="16"/>
      <c r="B19" s="15"/>
      <c r="C19" s="104" t="s">
        <v>21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7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7">
      <c r="B21" s="2"/>
      <c r="C21" s="113" t="s">
        <v>22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7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>
      <c r="A23" s="114" t="s">
        <v>23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28.571428571428569</v>
      </c>
      <c r="F23" s="20">
        <f>(B23/f*F22)*60</f>
        <v>32.142857142857139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46.428571428571423</v>
      </c>
      <c r="K23" s="20">
        <f>(B23/f*K22)*60</f>
        <v>49.999999999999993</v>
      </c>
      <c r="L23" s="20">
        <f>(B23/f*L22)*60</f>
        <v>53.571428571428569</v>
      </c>
      <c r="M23" s="20">
        <f>(B23/f*M22)*60</f>
        <v>57.142857142857139</v>
      </c>
      <c r="N23" s="20">
        <f>(B23/f*N22)*60</f>
        <v>60.714285714285708</v>
      </c>
      <c r="O23" s="21">
        <f>(B23/f*O22)*60</f>
        <v>64.285714285714278</v>
      </c>
      <c r="P23" s="22">
        <f>f/B23</f>
        <v>84</v>
      </c>
      <c r="Q23" s="120" t="s">
        <v>24</v>
      </c>
    </row>
    <row r="24" spans="1:17">
      <c r="A24" s="114"/>
      <c r="B24" s="19">
        <v>10</v>
      </c>
      <c r="C24" s="20">
        <f>f_10/f*C22*60</f>
        <v>42.857142857142854</v>
      </c>
      <c r="D24" s="20">
        <f t="shared" ref="D24:O24" si="0">f_10/f*D22*60</f>
        <v>49.999999999999993</v>
      </c>
      <c r="E24" s="20">
        <f t="shared" si="0"/>
        <v>57.142857142857139</v>
      </c>
      <c r="F24" s="20">
        <f t="shared" si="0"/>
        <v>64.285714285714278</v>
      </c>
      <c r="G24" s="20">
        <f t="shared" si="0"/>
        <v>71.428571428571431</v>
      </c>
      <c r="H24" s="20">
        <f t="shared" si="0"/>
        <v>78.571428571428569</v>
      </c>
      <c r="I24" s="23">
        <f t="shared" si="0"/>
        <v>85.714285714285708</v>
      </c>
      <c r="J24" s="24">
        <f t="shared" si="0"/>
        <v>92.857142857142847</v>
      </c>
      <c r="K24" s="20">
        <f t="shared" si="0"/>
        <v>99.999999999999986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t="shared" ref="P24:P33" si="1">f/B24</f>
        <v>42</v>
      </c>
      <c r="Q24" s="120"/>
    </row>
    <row r="25" spans="1:17">
      <c r="A25" s="114"/>
      <c r="B25" s="19">
        <v>15</v>
      </c>
      <c r="C25" s="20">
        <f>f_15/f*C22*60</f>
        <v>64.285714285714278</v>
      </c>
      <c r="D25" s="20">
        <f t="shared" ref="D25:O25" si="2">f_15/f*D22*60</f>
        <v>75</v>
      </c>
      <c r="E25" s="20">
        <f t="shared" si="2"/>
        <v>85.714285714285708</v>
      </c>
      <c r="F25" s="20">
        <f t="shared" si="2"/>
        <v>96.428571428571416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160.71428571428569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20"/>
    </row>
    <row r="26" spans="1:17">
      <c r="A26" s="114"/>
      <c r="B26" s="19">
        <v>20</v>
      </c>
      <c r="C26" s="20">
        <f>f_20/f*C22*60</f>
        <v>85.714285714285708</v>
      </c>
      <c r="D26" s="20">
        <f t="shared" ref="D26:O26" si="3">f_20/f*D22*60</f>
        <v>99.999999999999986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185.71428571428569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257.14285714285711</v>
      </c>
      <c r="P26" s="22">
        <f t="shared" si="1"/>
        <v>21</v>
      </c>
      <c r="Q26" s="120"/>
    </row>
    <row r="27" spans="1:17">
      <c r="A27" s="114"/>
      <c r="B27" s="19">
        <v>25</v>
      </c>
      <c r="C27" s="20">
        <f>f_25/f*C22*60</f>
        <v>107.14285714285714</v>
      </c>
      <c r="D27" s="20">
        <f t="shared" ref="D27:O27" si="4">f_25/f*D22*60</f>
        <v>124.99999999999999</v>
      </c>
      <c r="E27" s="20">
        <f t="shared" si="4"/>
        <v>142.85714285714286</v>
      </c>
      <c r="F27" s="23">
        <f t="shared" si="4"/>
        <v>160.71428571428569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232.14285714285711</v>
      </c>
      <c r="K27" s="20">
        <f t="shared" si="4"/>
        <v>249.99999999999997</v>
      </c>
      <c r="L27" s="20">
        <f t="shared" si="4"/>
        <v>267.85714285714289</v>
      </c>
      <c r="M27" s="20">
        <f t="shared" si="4"/>
        <v>285.71428571428572</v>
      </c>
      <c r="N27" s="20">
        <f t="shared" si="4"/>
        <v>303.57142857142856</v>
      </c>
      <c r="O27" s="21">
        <f t="shared" si="4"/>
        <v>321.42857142857139</v>
      </c>
      <c r="P27" s="22">
        <f t="shared" si="1"/>
        <v>16.8</v>
      </c>
      <c r="Q27" s="120"/>
    </row>
    <row r="28" spans="1:17">
      <c r="A28" s="114"/>
      <c r="B28" s="19">
        <v>30</v>
      </c>
      <c r="C28" s="20">
        <f>f_30/f*C22*60</f>
        <v>128.57142857142856</v>
      </c>
      <c r="D28" s="20">
        <f t="shared" ref="D28:O28" si="5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235.71428571428569</v>
      </c>
      <c r="I28" s="20">
        <f t="shared" si="5"/>
        <v>257.14285714285711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321.42857142857139</v>
      </c>
      <c r="M28" s="20">
        <f t="shared" si="5"/>
        <v>342.85714285714283</v>
      </c>
      <c r="N28" s="20">
        <f t="shared" si="5"/>
        <v>364.28571428571428</v>
      </c>
      <c r="O28" s="21">
        <f t="shared" si="5"/>
        <v>385.71428571428567</v>
      </c>
      <c r="P28" s="22">
        <f t="shared" si="1"/>
        <v>14</v>
      </c>
      <c r="Q28" s="120"/>
    </row>
    <row r="29" spans="1:17">
      <c r="A29" s="114"/>
      <c r="B29" s="19">
        <v>35</v>
      </c>
      <c r="C29" s="20">
        <f>f_35/f*C22*60</f>
        <v>150</v>
      </c>
      <c r="D29" s="20">
        <f t="shared" ref="D29:O29" si="6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20"/>
    </row>
    <row r="30" spans="1:17">
      <c r="A30" s="114"/>
      <c r="B30" s="19">
        <v>40</v>
      </c>
      <c r="C30" s="20">
        <f>f_40/f*C22*60</f>
        <v>171.42857142857142</v>
      </c>
      <c r="D30" s="20">
        <f t="shared" ref="D30:O30" si="7">f_40/f*D22*60</f>
        <v>199.99999999999997</v>
      </c>
      <c r="E30" s="20">
        <f t="shared" si="7"/>
        <v>228.57142857142856</v>
      </c>
      <c r="F30" s="20">
        <f t="shared" si="7"/>
        <v>257.14285714285711</v>
      </c>
      <c r="G30" s="20">
        <f t="shared" si="7"/>
        <v>285.71428571428572</v>
      </c>
      <c r="H30" s="20">
        <f t="shared" si="7"/>
        <v>314.28571428571428</v>
      </c>
      <c r="I30" s="20">
        <f t="shared" si="7"/>
        <v>342.85714285714283</v>
      </c>
      <c r="J30" s="20">
        <f t="shared" si="7"/>
        <v>371.42857142857139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457.14285714285711</v>
      </c>
      <c r="N30" s="20">
        <f t="shared" si="7"/>
        <v>485.71428571428567</v>
      </c>
      <c r="O30" s="21">
        <f t="shared" si="7"/>
        <v>514.28571428571422</v>
      </c>
      <c r="P30" s="22">
        <f t="shared" si="1"/>
        <v>10.5</v>
      </c>
      <c r="Q30" s="120"/>
    </row>
    <row r="31" spans="1:17">
      <c r="A31" s="114"/>
      <c r="B31" s="19">
        <v>45</v>
      </c>
      <c r="C31" s="20">
        <f>f_45/f*C22*60</f>
        <v>192.85714285714283</v>
      </c>
      <c r="D31" s="20">
        <f t="shared" ref="D31:O31" si="8">f_45/f*D22*60</f>
        <v>225</v>
      </c>
      <c r="E31" s="20">
        <f t="shared" si="8"/>
        <v>257.14285714285711</v>
      </c>
      <c r="F31" s="20">
        <f t="shared" si="8"/>
        <v>289.28571428571428</v>
      </c>
      <c r="G31" s="20">
        <f t="shared" si="8"/>
        <v>321.42857142857139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482.14285714285711</v>
      </c>
      <c r="M31" s="20">
        <f t="shared" si="8"/>
        <v>514.28571428571422</v>
      </c>
      <c r="N31" s="20">
        <f t="shared" si="8"/>
        <v>546.42857142857133</v>
      </c>
      <c r="O31" s="21">
        <f t="shared" si="8"/>
        <v>578.57142857142856</v>
      </c>
      <c r="P31" s="22">
        <f t="shared" si="1"/>
        <v>9.3333333333333339</v>
      </c>
      <c r="Q31" s="120"/>
    </row>
    <row r="32" spans="1:17">
      <c r="A32" s="114"/>
      <c r="B32" s="19">
        <v>50</v>
      </c>
      <c r="C32" s="20">
        <f>f_50/f*C22*60</f>
        <v>214.28571428571428</v>
      </c>
      <c r="D32" s="20">
        <f t="shared" ref="D32:O32" si="9">f_50/f*D22*60</f>
        <v>249.99999999999997</v>
      </c>
      <c r="E32" s="20">
        <f t="shared" si="9"/>
        <v>285.71428571428572</v>
      </c>
      <c r="F32" s="20">
        <f t="shared" si="9"/>
        <v>321.42857142857139</v>
      </c>
      <c r="G32" s="20">
        <f t="shared" si="9"/>
        <v>357.14285714285711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464.28571428571422</v>
      </c>
      <c r="K32" s="20">
        <f t="shared" si="9"/>
        <v>499.99999999999994</v>
      </c>
      <c r="L32" s="20">
        <f t="shared" si="9"/>
        <v>535.71428571428578</v>
      </c>
      <c r="M32" s="20">
        <f t="shared" si="9"/>
        <v>571.42857142857144</v>
      </c>
      <c r="N32" s="20">
        <f t="shared" si="9"/>
        <v>607.14285714285711</v>
      </c>
      <c r="O32" s="21">
        <f t="shared" si="9"/>
        <v>642.85714285714278</v>
      </c>
      <c r="P32" s="22">
        <f t="shared" si="1"/>
        <v>8.4</v>
      </c>
      <c r="Q32" s="120"/>
    </row>
    <row r="33" spans="1:17">
      <c r="A33" s="114"/>
      <c r="B33" s="19">
        <v>55</v>
      </c>
      <c r="C33" s="20">
        <f>f_55/f*C22*60</f>
        <v>235.71428571428572</v>
      </c>
      <c r="D33" s="20">
        <f t="shared" ref="D33:O33" si="10">f_55/f*D22*60</f>
        <v>275.00000000000006</v>
      </c>
      <c r="E33" s="20">
        <f t="shared" si="10"/>
        <v>314.28571428571428</v>
      </c>
      <c r="F33" s="20">
        <f t="shared" si="10"/>
        <v>353.57142857142861</v>
      </c>
      <c r="G33" s="20">
        <f t="shared" si="10"/>
        <v>392.85714285714289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510.71428571428578</v>
      </c>
      <c r="K33" s="20">
        <f t="shared" si="10"/>
        <v>550.00000000000011</v>
      </c>
      <c r="L33" s="20">
        <f t="shared" si="10"/>
        <v>589.28571428571422</v>
      </c>
      <c r="M33" s="20">
        <f t="shared" si="10"/>
        <v>628.57142857142856</v>
      </c>
      <c r="N33" s="20">
        <f t="shared" si="10"/>
        <v>667.85714285714289</v>
      </c>
      <c r="O33" s="21">
        <f t="shared" si="10"/>
        <v>707.14285714285722</v>
      </c>
      <c r="P33" s="22">
        <f t="shared" si="1"/>
        <v>7.6363636363636367</v>
      </c>
      <c r="Q33" s="120"/>
    </row>
    <row r="34" spans="1:1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1:17">
      <c r="B35" s="2"/>
      <c r="C35" s="2"/>
      <c r="D35" s="26"/>
      <c r="E35" s="11" t="s">
        <v>25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1:17">
      <c r="B36" s="2"/>
      <c r="C36" s="2"/>
      <c r="D36" s="29"/>
      <c r="E36" s="11" t="s">
        <v>26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1:17">
      <c r="B37" s="2"/>
      <c r="C37" s="2"/>
      <c r="D37" s="30"/>
      <c r="E37" s="11" t="s">
        <v>27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1:17">
      <c r="B38" s="2"/>
      <c r="C38" s="2"/>
      <c r="D38" s="31"/>
      <c r="E38" s="11" t="s">
        <v>28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1:17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1:17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>
      <c r="B41" s="2"/>
      <c r="C41" s="104" t="s">
        <v>29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A43" s="115" t="s">
        <v>30</v>
      </c>
      <c r="B43" s="115"/>
      <c r="C43" s="115"/>
      <c r="D43" s="32">
        <v>36</v>
      </c>
      <c r="E43" s="32">
        <v>24</v>
      </c>
      <c r="F43" s="116" t="s">
        <v>31</v>
      </c>
      <c r="G43" s="116"/>
      <c r="H43" s="116"/>
      <c r="I43" s="117"/>
      <c r="J43" s="33"/>
      <c r="K43" s="34">
        <f t="shared" ref="K43:L47" si="11">ATAN(D43/2/f)*57.2957*2</f>
        <v>4.9080565378152006</v>
      </c>
      <c r="L43" s="34">
        <f t="shared" si="11"/>
        <v>3.2731495408644817</v>
      </c>
      <c r="M43" s="116" t="s">
        <v>31</v>
      </c>
      <c r="N43" s="117"/>
    </row>
    <row r="44" spans="1:17">
      <c r="A44" s="115" t="s">
        <v>32</v>
      </c>
      <c r="B44" s="115"/>
      <c r="C44" s="115"/>
      <c r="D44" s="32">
        <v>60</v>
      </c>
      <c r="E44" s="32">
        <v>60</v>
      </c>
      <c r="F44" s="118"/>
      <c r="G44" s="118"/>
      <c r="H44" s="118"/>
      <c r="I44" s="119"/>
      <c r="J44" s="33"/>
      <c r="K44" s="34">
        <f t="shared" si="11"/>
        <v>8.1712222201971159</v>
      </c>
      <c r="L44" s="34">
        <f t="shared" si="11"/>
        <v>8.1712222201971159</v>
      </c>
      <c r="M44" s="118"/>
      <c r="N44" s="119"/>
    </row>
    <row r="45" spans="1:17">
      <c r="A45" s="35" t="s">
        <v>33</v>
      </c>
      <c r="B45" s="35"/>
      <c r="C45" s="35"/>
      <c r="D45" s="32">
        <v>90</v>
      </c>
      <c r="E45" s="32">
        <v>60</v>
      </c>
      <c r="F45" s="118"/>
      <c r="G45" s="118"/>
      <c r="H45" s="118"/>
      <c r="I45" s="119"/>
      <c r="J45" s="33"/>
      <c r="K45" s="34">
        <f t="shared" si="11"/>
        <v>12.230990158806161</v>
      </c>
      <c r="L45" s="34">
        <f t="shared" si="11"/>
        <v>8.1712222201971159</v>
      </c>
      <c r="M45" s="118"/>
      <c r="N45" s="119"/>
    </row>
    <row r="46" spans="1:17">
      <c r="A46" s="111" t="s">
        <v>34</v>
      </c>
      <c r="B46" s="111"/>
      <c r="C46" s="111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0.87306043990832227</v>
      </c>
      <c r="M46" s="38">
        <f>K46/F46*3600</f>
        <v>7.5493318536868284</v>
      </c>
      <c r="N46" s="38">
        <f>L46/G46*3600</f>
        <v>6.3882471212804068</v>
      </c>
    </row>
    <row r="47" spans="1:17">
      <c r="A47" s="103" t="s">
        <v>35</v>
      </c>
      <c r="B47" s="103"/>
      <c r="C47" s="103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0.60842004937770489</v>
      </c>
      <c r="L47" s="34">
        <f t="shared" si="11"/>
        <v>0.5183861304540468</v>
      </c>
      <c r="M47" s="38">
        <f>K47/F47*3600</f>
        <v>3.4223627777495902</v>
      </c>
      <c r="N47" s="38">
        <f>L47/G47*3600</f>
        <v>3.8878959784053513</v>
      </c>
    </row>
    <row r="48" spans="1:17" ht="32.25">
      <c r="A48" s="41"/>
      <c r="B48" s="2"/>
      <c r="C48" s="2"/>
      <c r="D48" s="42" t="s">
        <v>36</v>
      </c>
      <c r="E48" s="42" t="s">
        <v>37</v>
      </c>
      <c r="F48" s="43" t="s">
        <v>38</v>
      </c>
      <c r="G48" s="43" t="s">
        <v>39</v>
      </c>
      <c r="H48" s="43" t="s">
        <v>40</v>
      </c>
      <c r="I48" s="43" t="s">
        <v>41</v>
      </c>
      <c r="J48" s="42"/>
      <c r="K48" s="42" t="s">
        <v>42</v>
      </c>
      <c r="L48" s="42" t="s">
        <v>43</v>
      </c>
      <c r="M48" s="42" t="s">
        <v>44</v>
      </c>
      <c r="N48" s="42" t="s">
        <v>45</v>
      </c>
      <c r="O48" s="2"/>
    </row>
    <row r="49" spans="1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6">
      <c r="B50" s="2"/>
      <c r="C50" s="2"/>
      <c r="D50" s="44"/>
      <c r="E50" s="11" t="s">
        <v>46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6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>
      <c r="B53" s="2"/>
      <c r="C53" s="104" t="s">
        <v>47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1:16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6">
      <c r="B55" s="2"/>
      <c r="C55" s="45"/>
      <c r="D55" s="45"/>
      <c r="E55" s="45"/>
      <c r="F55" s="45"/>
      <c r="G55" s="105" t="s">
        <v>48</v>
      </c>
      <c r="H55" s="106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1:16">
      <c r="B56" s="2"/>
      <c r="C56" s="2"/>
      <c r="D56" s="2"/>
      <c r="E56" s="2"/>
      <c r="F56" s="17"/>
      <c r="G56" s="105" t="s">
        <v>49</v>
      </c>
      <c r="H56" s="106"/>
      <c r="I56" s="47">
        <f>(f/uzywanyokular)*obaparatu</f>
        <v>807.69230769230762</v>
      </c>
      <c r="K56" s="2"/>
      <c r="L56" s="2"/>
      <c r="M56" s="2"/>
      <c r="N56" s="2"/>
      <c r="O56" s="2"/>
    </row>
    <row r="57" spans="1:16">
      <c r="A57" s="92" t="s">
        <v>50</v>
      </c>
      <c r="B57" s="92"/>
      <c r="C57" s="93"/>
      <c r="D57" s="48">
        <v>1800</v>
      </c>
      <c r="E57" s="49">
        <f>(f*D57)/206265</f>
        <v>3.665187986328267</v>
      </c>
      <c r="F57" s="50">
        <f>((f/d)*(f/d))/(czuloscfilmu*80)</f>
        <v>3.7500000000000001E-4</v>
      </c>
      <c r="G57" s="51">
        <f>(((f/uzywanyokular)*obaparatu)*D57)/206265</f>
        <v>7.0484384352466671</v>
      </c>
      <c r="H57" s="52">
        <f>G57*(180/36)</f>
        <v>35.242192176233338</v>
      </c>
      <c r="I57" s="53">
        <f>((((f/uzywanyokular)*obaparatu)/d)*(((f/uzywanyokular)*obaparatu)/d))/(czuloscfilmu*80)</f>
        <v>1.3868343195266271E-3</v>
      </c>
      <c r="J57" s="2"/>
      <c r="K57" s="2"/>
      <c r="L57" s="2"/>
      <c r="M57" s="2"/>
      <c r="N57" s="2"/>
      <c r="O57" s="2"/>
    </row>
    <row r="58" spans="1:16">
      <c r="A58" s="92" t="s">
        <v>51</v>
      </c>
      <c r="B58" s="92"/>
      <c r="C58" s="93"/>
      <c r="D58" s="48">
        <v>11</v>
      </c>
      <c r="E58" s="49">
        <f t="shared" ref="E58:E69" si="12">(f*D58)/206265</f>
        <v>2.239837102756163E-2</v>
      </c>
      <c r="F58" s="50">
        <f>((f/d)*(f/d))/(czuloscfilmu*60)</f>
        <v>5.0000000000000001E-4</v>
      </c>
      <c r="G58" s="54">
        <f>(((f/uzywanyokular)*obaparatu)*D58)/206265</f>
        <v>4.3073790437618512E-2</v>
      </c>
      <c r="H58" s="55">
        <f t="shared" ref="H58:H71" si="13">G58*(180/36)</f>
        <v>0.21536895218809254</v>
      </c>
      <c r="I58" s="50">
        <f>((((f/uzywanyokular)*obaparatu)/d)*(((f/uzywanyokular)*obaparatu)/d))/(czuloscfilmu*60)</f>
        <v>1.8491124260355029E-3</v>
      </c>
      <c r="J58" s="2"/>
      <c r="K58" s="2"/>
      <c r="L58" s="2"/>
      <c r="M58" s="2"/>
      <c r="N58" s="2"/>
      <c r="O58" s="2"/>
    </row>
    <row r="59" spans="1:16">
      <c r="A59" s="92" t="s">
        <v>52</v>
      </c>
      <c r="B59" s="92"/>
      <c r="C59" s="93"/>
      <c r="D59" s="48">
        <v>60.2</v>
      </c>
      <c r="E59" s="49">
        <f t="shared" si="12"/>
        <v>0.12258017598720093</v>
      </c>
      <c r="F59" s="50">
        <f>((f/d)*(f/d))/(czuloscfilmu*400)</f>
        <v>7.4999999999999993E-5</v>
      </c>
      <c r="G59" s="54">
        <f>(((f/uzywanyokular)*obaparatu)*D59)/206265</f>
        <v>0.23573110766769409</v>
      </c>
      <c r="H59" s="55">
        <f t="shared" si="13"/>
        <v>1.1786555383384705</v>
      </c>
      <c r="I59" s="50">
        <f>((((f/uzywanyokular)*obaparatu)/d)*(((f/uzywanyokular)*obaparatu)/d))/(czuloscfilmu*400)</f>
        <v>2.7736686390532545E-4</v>
      </c>
      <c r="J59" s="2"/>
      <c r="K59" s="56" t="s">
        <v>53</v>
      </c>
      <c r="L59" s="2"/>
      <c r="M59" s="2"/>
      <c r="N59" s="2"/>
      <c r="O59" s="2"/>
    </row>
    <row r="60" spans="1:16">
      <c r="A60" s="57" t="s">
        <v>54</v>
      </c>
      <c r="B60" s="57"/>
      <c r="C60" s="58"/>
      <c r="D60" s="107">
        <v>1800</v>
      </c>
      <c r="E60" s="108">
        <f t="shared" si="12"/>
        <v>3.665187986328267</v>
      </c>
      <c r="F60" s="50">
        <f>((f/d)*(f/d))/(czuloscfilmu*200)</f>
        <v>1.4999999999999999E-4</v>
      </c>
      <c r="G60" s="109">
        <f>(((f/uzywanyokular)*obaparatu)*D60)/206265</f>
        <v>7.0484384352466671</v>
      </c>
      <c r="H60" s="110">
        <f t="shared" si="13"/>
        <v>35.242192176233338</v>
      </c>
      <c r="I60" s="50">
        <f>((((f/uzywanyokular)*obaparatu)/d)*(((f/uzywanyokular)*obaparatu)/d))/(czuloscfilmu*200)</f>
        <v>5.547337278106509E-4</v>
      </c>
      <c r="J60" s="2"/>
      <c r="K60" s="59"/>
      <c r="L60" s="102" t="s">
        <v>55</v>
      </c>
      <c r="M60" s="102"/>
      <c r="N60" s="102"/>
      <c r="O60" s="102"/>
    </row>
    <row r="61" spans="1:16">
      <c r="A61" s="57" t="s">
        <v>56</v>
      </c>
      <c r="B61" s="57"/>
      <c r="C61" s="58"/>
      <c r="D61" s="107"/>
      <c r="E61" s="108"/>
      <c r="F61" s="50">
        <f>((f/d)*(f/d))/(czuloscfilmu*80)</f>
        <v>3.7500000000000001E-4</v>
      </c>
      <c r="G61" s="109"/>
      <c r="H61" s="110"/>
      <c r="I61" s="50">
        <f>((((f/uzywanyokular)*obaparatu)/d)*(((f/uzywanyokular)*obaparatu)/d))/(czuloscfilmu*80)</f>
        <v>1.3868343195266271E-3</v>
      </c>
      <c r="J61" s="2"/>
      <c r="K61" s="60"/>
      <c r="L61" s="102" t="s">
        <v>57</v>
      </c>
      <c r="M61" s="102"/>
      <c r="N61" s="102"/>
      <c r="O61" s="102"/>
    </row>
    <row r="62" spans="1:16">
      <c r="A62" s="57" t="s">
        <v>58</v>
      </c>
      <c r="B62" s="57"/>
      <c r="C62" s="58"/>
      <c r="D62" s="107"/>
      <c r="E62" s="108"/>
      <c r="F62" s="50">
        <f>((f/d)*(f/d))/(czuloscfilmu*40)</f>
        <v>7.5000000000000002E-4</v>
      </c>
      <c r="G62" s="109"/>
      <c r="H62" s="110"/>
      <c r="I62" s="50">
        <f>((((f/uzywanyokular)*obaparatu)/d)*(((f/uzywanyokular)*obaparatu)/d))/(czuloscfilmu*40)</f>
        <v>2.7736686390532543E-3</v>
      </c>
      <c r="J62" s="2"/>
      <c r="K62" s="61"/>
      <c r="L62" s="102" t="s">
        <v>59</v>
      </c>
      <c r="M62" s="102"/>
      <c r="N62" s="102"/>
      <c r="O62" s="102"/>
      <c r="P62" s="102"/>
    </row>
    <row r="63" spans="1:16">
      <c r="A63" s="57" t="s">
        <v>60</v>
      </c>
      <c r="B63" s="57"/>
      <c r="C63" s="58"/>
      <c r="D63" s="107"/>
      <c r="E63" s="108"/>
      <c r="F63" s="50">
        <f>((f/d)*(f/d))/(czuloscfilmu*20)</f>
        <v>1.5E-3</v>
      </c>
      <c r="G63" s="109"/>
      <c r="H63" s="110"/>
      <c r="I63" s="50">
        <f>((((f/uzywanyokular)*obaparatu)/d)*(((f/uzywanyokular)*obaparatu)/d))/(czuloscfilmu*20)</f>
        <v>5.5473372781065086E-3</v>
      </c>
      <c r="J63" s="2"/>
      <c r="K63" s="2"/>
      <c r="L63" s="2"/>
      <c r="M63" s="2"/>
      <c r="N63" s="2"/>
      <c r="O63" s="2"/>
    </row>
    <row r="64" spans="1:16">
      <c r="A64" s="92" t="s">
        <v>61</v>
      </c>
      <c r="B64" s="92"/>
      <c r="C64" s="93"/>
      <c r="D64" s="48">
        <v>17.899999999999999</v>
      </c>
      <c r="E64" s="49">
        <f t="shared" si="12"/>
        <v>3.644825830848665E-2</v>
      </c>
      <c r="F64" s="50">
        <f>((f/d)*(f/d))/(czuloscfilmu*60)</f>
        <v>5.0000000000000001E-4</v>
      </c>
      <c r="G64" s="54">
        <f t="shared" ref="G64:G69" si="14">(((f/uzywanyokular)*obaparatu)*D64)/206265</f>
        <v>7.0092804439397402E-2</v>
      </c>
      <c r="H64" s="55">
        <f t="shared" si="13"/>
        <v>0.35046402219698702</v>
      </c>
      <c r="I64" s="50">
        <f>((((f/uzywanyokular)*obaparatu)/d)*(((f/uzywanyokular)*obaparatu)/d))/(czuloscfilmu*60)</f>
        <v>1.8491124260355029E-3</v>
      </c>
      <c r="J64" s="2"/>
      <c r="K64" s="2"/>
      <c r="L64" s="2"/>
      <c r="M64" s="2"/>
      <c r="N64" s="2"/>
      <c r="O64" s="2"/>
    </row>
    <row r="65" spans="1:15">
      <c r="A65" s="94" t="s">
        <v>62</v>
      </c>
      <c r="B65" s="94"/>
      <c r="C65" s="95"/>
      <c r="D65" s="62">
        <v>46</v>
      </c>
      <c r="E65" s="63">
        <f t="shared" si="12"/>
        <v>9.3665915206166822E-2</v>
      </c>
      <c r="F65" s="64">
        <f>((f/d)*(f/d))/(czuloscfilmu*30)</f>
        <v>1E-3</v>
      </c>
      <c r="G65" s="65">
        <f t="shared" si="14"/>
        <v>0.18012676001185926</v>
      </c>
      <c r="H65" s="66">
        <f t="shared" si="13"/>
        <v>0.90063380005929627</v>
      </c>
      <c r="I65" s="64">
        <f>((((f/uzywanyokular)*obaparatu)/d)*(((f/uzywanyokular)*obaparatu)/d))/(czuloscfilmu*30)</f>
        <v>3.6982248520710057E-3</v>
      </c>
      <c r="J65" s="2"/>
      <c r="K65" s="2"/>
      <c r="L65" s="2"/>
      <c r="M65" s="2"/>
      <c r="N65" s="2"/>
      <c r="O65" s="2"/>
    </row>
    <row r="66" spans="1:15">
      <c r="A66" s="92" t="s">
        <v>63</v>
      </c>
      <c r="B66" s="92"/>
      <c r="C66" s="93"/>
      <c r="D66" s="48">
        <v>19</v>
      </c>
      <c r="E66" s="49">
        <f t="shared" si="12"/>
        <v>3.8688095411242816E-2</v>
      </c>
      <c r="F66" s="96">
        <f>((f/d)*(f/d))/(czuloscfilmu*10)</f>
        <v>3.0000000000000001E-3</v>
      </c>
      <c r="G66" s="54">
        <f t="shared" si="14"/>
        <v>7.4400183483159257E-2</v>
      </c>
      <c r="H66" s="55">
        <f t="shared" si="13"/>
        <v>0.37200091741579627</v>
      </c>
      <c r="I66" s="96">
        <f>((((f/uzywanyokular)*obaparatu)/d)*(((f/uzywanyokular)*obaparatu)/d))/(czuloscfilmu*10)</f>
        <v>1.1094674556213017E-2</v>
      </c>
      <c r="J66" s="2"/>
      <c r="K66" s="2"/>
      <c r="L66" s="2"/>
      <c r="M66" s="2"/>
      <c r="N66" s="2"/>
      <c r="O66" s="2"/>
    </row>
    <row r="67" spans="1:15">
      <c r="A67" s="57" t="s">
        <v>64</v>
      </c>
      <c r="B67" s="57"/>
      <c r="C67" s="58"/>
      <c r="D67" s="48">
        <v>42</v>
      </c>
      <c r="E67" s="49">
        <f t="shared" si="12"/>
        <v>8.5521053014326234E-2</v>
      </c>
      <c r="F67" s="97"/>
      <c r="G67" s="54">
        <f t="shared" si="14"/>
        <v>0.16446356348908889</v>
      </c>
      <c r="H67" s="55">
        <f t="shared" si="13"/>
        <v>0.82231781744544441</v>
      </c>
      <c r="I67" s="97"/>
      <c r="J67" s="2"/>
      <c r="K67" s="2"/>
      <c r="L67" s="2"/>
      <c r="M67" s="2"/>
      <c r="N67" s="2"/>
      <c r="O67" s="2"/>
    </row>
    <row r="68" spans="1:15">
      <c r="A68" s="92" t="s">
        <v>65</v>
      </c>
      <c r="B68" s="92"/>
      <c r="C68" s="93"/>
      <c r="D68" s="48">
        <v>4</v>
      </c>
      <c r="E68" s="49">
        <f t="shared" si="12"/>
        <v>8.144862191840593E-3</v>
      </c>
      <c r="F68" s="98" t="s">
        <v>66</v>
      </c>
      <c r="G68" s="54">
        <f t="shared" si="14"/>
        <v>1.5663196522770369E-2</v>
      </c>
      <c r="H68" s="55">
        <f t="shared" si="13"/>
        <v>7.8315982613851851E-2</v>
      </c>
      <c r="I68" s="101" t="s">
        <v>66</v>
      </c>
      <c r="J68" s="2"/>
      <c r="K68" s="2"/>
      <c r="L68" s="2"/>
      <c r="M68" s="67"/>
      <c r="N68" s="2"/>
      <c r="O68" s="2"/>
    </row>
    <row r="69" spans="1:15">
      <c r="A69" s="92" t="s">
        <v>67</v>
      </c>
      <c r="B69" s="92"/>
      <c r="C69" s="93"/>
      <c r="D69" s="48">
        <v>2.1</v>
      </c>
      <c r="E69" s="49">
        <f t="shared" si="12"/>
        <v>4.2760526507163114E-3</v>
      </c>
      <c r="F69" s="99"/>
      <c r="G69" s="54">
        <f t="shared" si="14"/>
        <v>8.2231781744544451E-3</v>
      </c>
      <c r="H69" s="55">
        <f t="shared" si="13"/>
        <v>4.1115890872272229E-2</v>
      </c>
      <c r="I69" s="101"/>
      <c r="J69" s="2"/>
      <c r="K69" s="2"/>
      <c r="L69" s="2"/>
      <c r="M69" s="2"/>
      <c r="N69" s="2"/>
      <c r="O69" s="2"/>
    </row>
    <row r="70" spans="1:15">
      <c r="A70" s="92" t="s">
        <v>68</v>
      </c>
      <c r="B70" s="92"/>
      <c r="C70" s="93"/>
      <c r="D70" s="48">
        <v>0.1</v>
      </c>
      <c r="E70" s="49">
        <f>(f*D70)/206265</f>
        <v>2.0362155479601484E-4</v>
      </c>
      <c r="F70" s="100"/>
      <c r="G70" s="54">
        <f>(((f/uzywanyokular)*obaparatu)*D70)/206265</f>
        <v>3.9157991306925933E-4</v>
      </c>
      <c r="H70" s="55">
        <f t="shared" si="13"/>
        <v>1.9578995653462966E-3</v>
      </c>
      <c r="I70" s="101"/>
      <c r="J70" s="2"/>
      <c r="K70" s="2"/>
      <c r="L70" s="2"/>
      <c r="M70" s="2"/>
      <c r="N70" s="2"/>
      <c r="O70" s="2"/>
    </row>
    <row r="71" spans="1:15">
      <c r="A71" s="92" t="s">
        <v>69</v>
      </c>
      <c r="B71" s="92"/>
      <c r="C71" s="93"/>
      <c r="D71" s="48">
        <v>36</v>
      </c>
      <c r="E71" s="49">
        <f>(f*D71)/206265</f>
        <v>7.3303759726565346E-2</v>
      </c>
      <c r="F71" s="50">
        <f>((f/d)*(f/d))/(czuloscfilmu*400)</f>
        <v>7.4999999999999993E-5</v>
      </c>
      <c r="G71" s="54">
        <f>(((f/uzywanyokular)*obaparatu)*D71)/206265</f>
        <v>0.14096876870493333</v>
      </c>
      <c r="H71" s="55">
        <f t="shared" si="13"/>
        <v>0.70484384352466667</v>
      </c>
      <c r="I71" s="50">
        <f>((((f/uzywanyokular)*obaparatu)/d)*(((f/uzywanyokular)*obaparatu)/d))/(czuloscfilmu*400)</f>
        <v>2.7736686390532545E-4</v>
      </c>
      <c r="J71" s="2"/>
      <c r="K71" s="2"/>
      <c r="L71" s="2"/>
      <c r="M71" s="86"/>
      <c r="N71" s="86"/>
      <c r="O71" s="2"/>
    </row>
    <row r="72" spans="1:15" ht="126.75">
      <c r="B72" s="2"/>
      <c r="C72" s="2"/>
      <c r="D72" s="68" t="s">
        <v>70</v>
      </c>
      <c r="E72" s="68" t="s">
        <v>71</v>
      </c>
      <c r="F72" s="69" t="s">
        <v>72</v>
      </c>
      <c r="G72" s="87" t="s">
        <v>73</v>
      </c>
      <c r="H72" s="70" t="s">
        <v>74</v>
      </c>
      <c r="I72" s="70" t="s">
        <v>75</v>
      </c>
      <c r="J72" s="2"/>
      <c r="K72" s="2"/>
      <c r="L72" s="2"/>
      <c r="M72" s="2"/>
      <c r="N72" s="2"/>
      <c r="O72" s="2"/>
    </row>
    <row r="73" spans="1:15">
      <c r="B73" s="2"/>
      <c r="C73" s="2"/>
      <c r="D73" s="89" t="s">
        <v>76</v>
      </c>
      <c r="E73" s="89"/>
      <c r="F73" s="71">
        <v>1200</v>
      </c>
      <c r="G73" s="88"/>
      <c r="H73" s="2"/>
      <c r="I73" s="2"/>
      <c r="J73" s="2"/>
      <c r="K73" s="2"/>
      <c r="L73" s="2"/>
      <c r="M73" s="2"/>
      <c r="N73" s="2"/>
      <c r="O73" s="2"/>
    </row>
    <row r="74" spans="1:15">
      <c r="B74" s="2"/>
      <c r="C74" s="2"/>
      <c r="D74" s="90"/>
      <c r="E74" s="90"/>
      <c r="F74" s="72" t="s">
        <v>77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1:15">
      <c r="B75" s="2"/>
      <c r="C75" s="2"/>
      <c r="D75" s="2"/>
      <c r="E75" s="2"/>
      <c r="F75" s="72" t="s">
        <v>78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1: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B77" s="2"/>
      <c r="C77" s="2"/>
      <c r="D77" s="91"/>
      <c r="E77" s="91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mergeCells count="54">
    <mergeCell ref="B10:E10"/>
    <mergeCell ref="B3:P3"/>
    <mergeCell ref="B4:P4"/>
    <mergeCell ref="B5:P5"/>
    <mergeCell ref="B8:E8"/>
    <mergeCell ref="B9:E9"/>
    <mergeCell ref="Q23:Q33"/>
    <mergeCell ref="B11:E11"/>
    <mergeCell ref="B12:E13"/>
    <mergeCell ref="G12:H12"/>
    <mergeCell ref="G13:H13"/>
    <mergeCell ref="B14:E14"/>
    <mergeCell ref="G14:H14"/>
    <mergeCell ref="A46:C46"/>
    <mergeCell ref="B15:E15"/>
    <mergeCell ref="B16:E16"/>
    <mergeCell ref="C19:O19"/>
    <mergeCell ref="C21:O21"/>
    <mergeCell ref="A23:A33"/>
    <mergeCell ref="C41:O41"/>
    <mergeCell ref="A43:C43"/>
    <mergeCell ref="F43:I45"/>
    <mergeCell ref="M43:N45"/>
    <mergeCell ref="A44:C44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D60:D63"/>
    <mergeCell ref="E60:E63"/>
    <mergeCell ref="G60:G63"/>
    <mergeCell ref="H60:H63"/>
    <mergeCell ref="I66:I67"/>
    <mergeCell ref="A68:C68"/>
    <mergeCell ref="F68:F70"/>
    <mergeCell ref="I68:I70"/>
    <mergeCell ref="A69:C69"/>
    <mergeCell ref="A70:C70"/>
    <mergeCell ref="A64:C64"/>
    <mergeCell ref="A65:C65"/>
    <mergeCell ref="A66:C66"/>
    <mergeCell ref="F66:F67"/>
    <mergeCell ref="A71:C71"/>
    <mergeCell ref="M71:N71"/>
    <mergeCell ref="G72:G73"/>
    <mergeCell ref="D73:E73"/>
    <mergeCell ref="D74:E74"/>
    <mergeCell ref="D77:E77"/>
  </mergeCells>
  <conditionalFormatting sqref="E57:E71 G57:G71">
    <cfRule type="cellIs" dxfId="9" priority="1" stopIfTrue="1" operator="greaterThan">
      <formula>24</formula>
    </cfRule>
  </conditionalFormatting>
  <conditionalFormatting sqref="F57:F67 F71">
    <cfRule type="cellIs" dxfId="8" priority="2" stopIfTrue="1" operator="greaterThan">
      <formula>0.04444444</formula>
    </cfRule>
    <cfRule type="cellIs" dxfId="7" priority="3" stopIfTrue="1" operator="lessThan">
      <formula>0.00133333</formula>
    </cfRule>
  </conditionalFormatting>
  <conditionalFormatting sqref="I57:I67 I71">
    <cfRule type="cellIs" dxfId="6" priority="4" stopIfTrue="1" operator="greaterThan">
      <formula>0.04444444</formula>
    </cfRule>
    <cfRule type="cellIs" dxfId="5" priority="5" stopIfTrue="1" operator="lessThan">
      <formula>0.001333333</formula>
    </cfRule>
  </conditionalFormatting>
  <conditionalFormatting sqref="C23:O33">
    <cfRule type="cellIs" dxfId="4" priority="6" stopIfTrue="1" operator="greaterThanOrEqual">
      <formula>60</formula>
    </cfRule>
    <cfRule type="cellIs" dxfId="3" priority="7" stopIfTrue="1" operator="lessThanOrEqual">
      <formula>10</formula>
    </cfRule>
    <cfRule type="cellIs" dxfId="2" priority="8" stopIfTrue="1" operator="between">
      <formula>10</formula>
      <formula>60</formula>
    </cfRule>
  </conditionalFormatting>
  <conditionalFormatting sqref="M46:N47">
    <cfRule type="cellIs" dxfId="1" priority="9" stopIfTrue="1" operator="lessThan">
      <formula>0.5</formula>
    </cfRule>
  </conditionalFormatting>
  <conditionalFormatting sqref="P23:P33">
    <cfRule type="cellIs" dxfId="0" priority="10" stopIfTrue="1" operator="notBetween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defaultRowHeight="12.75"/>
  <sheetData>
    <row r="1" spans="1:1">
      <c r="A1">
        <v>3500</v>
      </c>
    </row>
    <row r="2" spans="1:1">
      <c r="A2">
        <v>630</v>
      </c>
    </row>
    <row r="3" spans="1:1">
      <c r="A3">
        <v>530</v>
      </c>
    </row>
    <row r="4" spans="1:1">
      <c r="A4">
        <v>800</v>
      </c>
    </row>
    <row r="5" spans="1:1">
      <c r="A5">
        <v>840</v>
      </c>
    </row>
    <row r="6" spans="1:1">
      <c r="A6">
        <v>620</v>
      </c>
    </row>
    <row r="7" spans="1:1">
      <c r="A7">
        <v>480</v>
      </c>
    </row>
    <row r="8" spans="1:1">
      <c r="A8">
        <f>SUM(A1:A7)</f>
        <v>7400</v>
      </c>
    </row>
    <row r="9" spans="1:1">
      <c r="A9">
        <f>A8*4.2</f>
        <v>31080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15</vt:i4>
      </vt:variant>
    </vt:vector>
  </HeadingPairs>
  <TitlesOfParts>
    <vt:vector size="18" baseType="lpstr">
      <vt:lpstr>Bezprzewodowe stacje pogody</vt:lpstr>
      <vt:lpstr>Arkusz1 (2)</vt:lpstr>
      <vt:lpstr>Arkusz3</vt:lpstr>
      <vt:lpstr>'Arkusz1 (2)'!czuloscfilmu</vt:lpstr>
      <vt:lpstr>'Arkusz1 (2)'!d</vt:lpstr>
      <vt:lpstr>'Arkusz1 (2)'!f</vt:lpstr>
      <vt:lpstr>'Arkusz1 (2)'!f_10</vt:lpstr>
      <vt:lpstr>'Arkusz1 (2)'!f_15</vt:lpstr>
      <vt:lpstr>'Arkusz1 (2)'!f_20</vt:lpstr>
      <vt:lpstr>'Arkusz1 (2)'!f_25</vt:lpstr>
      <vt:lpstr>'Arkusz1 (2)'!f_30</vt:lpstr>
      <vt:lpstr>'Arkusz1 (2)'!f_35</vt:lpstr>
      <vt:lpstr>'Arkusz1 (2)'!f_40</vt:lpstr>
      <vt:lpstr>'Arkusz1 (2)'!f_45</vt:lpstr>
      <vt:lpstr>'Arkusz1 (2)'!f_50</vt:lpstr>
      <vt:lpstr>'Arkusz1 (2)'!f_55</vt:lpstr>
      <vt:lpstr>'Arkusz1 (2)'!obaparatu</vt:lpstr>
      <vt:lpstr>'Arkusz1 (2)'!uzywanyokular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uniwersal</dc:creator>
  <cp:lastModifiedBy>J.Bienias</cp:lastModifiedBy>
  <cp:lastPrinted>2013-09-17T12:16:30Z</cp:lastPrinted>
  <dcterms:created xsi:type="dcterms:W3CDTF">2013-06-25T08:05:42Z</dcterms:created>
  <dcterms:modified xsi:type="dcterms:W3CDTF">2013-12-13T11:34:30Z</dcterms:modified>
</cp:coreProperties>
</file>